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Print_Area" localSheetId="44">ТП!$A$1:$S$23</definedName>
    <definedName name="_xlnm.Print_Titles" localSheetId="44">ТП!$B:$B,ТП!$2:$2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<sst xmlns="http://schemas.openxmlformats.org/spreadsheetml/2006/main" count="25649" uniqueCount="6505">
  <si>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</si>
  <si>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</si>
  <si>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</si>
  <si>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</si>
  <si>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</si>
  <si>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</si>
  <si>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</si>
  <si>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</si>
  <si>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</si>
  <si>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</si>
  <si>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</si>
  <si>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</si>
  <si>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</si>
  <si>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</si>
  <si>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</si>
  <si>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</si>
  <si>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</si>
  <si>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</si>
  <si>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</si>
  <si>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</si>
  <si>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</si>
  <si>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</si>
  <si>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</si>
  <si>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</si>
  <si>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</si>
  <si>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</si>
  <si>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</si>
  <si>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</si>
  <si>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</si>
  <si>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</si>
  <si>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</si>
  <si>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</si>
  <si>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</si>
  <si>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</si>
  <si>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</si>
  <si>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</si>
  <si>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</si>
  <si>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</si>
  <si>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</si>
  <si>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</si>
  <si>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</si>
  <si>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</si>
  <si>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</si>
  <si>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</si>
  <si>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</si>
  <si>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</si>
  <si>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</si>
  <si>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</si>
  <si>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</si>
  <si>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</si>
  <si>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</si>
  <si>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</si>
  <si>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</si>
  <si>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</si>
  <si>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</si>
  <si>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</si>
  <si>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</si>
  <si>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</si>
  <si>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</si>
  <si>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</si>
  <si>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</si>
  <si>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</si>
  <si>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</si>
  <si>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</si>
  <si>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</si>
  <si>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</si>
  <si>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</si>
  <si>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</si>
  <si>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</si>
  <si>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</si>
  <si>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</si>
  <si>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</si>
  <si>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</si>
  <si>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</si>
  <si>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</si>
  <si>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</si>
  <si>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</si>
  <si>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</si>
  <si>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</si>
  <si>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</si>
  <si>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</si>
  <si>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</si>
  <si>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</si>
  <si>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</si>
  <si>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</si>
  <si>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</si>
  <si>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</si>
  <si>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</si>
  <si>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</si>
  <si>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</si>
  <si>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</si>
  <si>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</si>
  <si>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</si>
  <si>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</si>
  <si>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</si>
  <si>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</si>
  <si>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</si>
  <si>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</si>
  <si>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97</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</si>
  <si>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</si>
  <si>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</si>
  <si>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</si>
  <si>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</si>
  <si>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</si>
  <si>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</si>
  <si>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</si>
  <si>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</si>
  <si>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</si>
  <si>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</si>
  <si>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</si>
  <si>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</si>
  <si>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</si>
  <si>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</si>
  <si>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</si>
  <si>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</si>
  <si>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</si>
  <si>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</si>
  <si>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 водоотведения)</t>
  </si>
  <si>
    <t>diff_1</t>
  </si>
  <si>
    <t>4189714; 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</si>
  <si>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</si>
  <si>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</si>
  <si>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</si>
  <si>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</si>
  <si>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</si>
  <si>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</si>
  <si>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</si>
  <si>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</si>
  <si>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</si>
  <si>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</si>
  <si>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</si>
  <si>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</si>
  <si>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</si>
  <si>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</si>
  <si>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</si>
  <si>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</si>
  <si>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</si>
  <si>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</si>
  <si>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</si>
  <si>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</si>
  <si>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</si>
  <si>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</si>
  <si>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</si>
  <si>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</si>
  <si>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</si>
  <si>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</si>
  <si>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</si>
  <si>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</si>
  <si>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</si>
  <si>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</si>
  <si>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</si>
  <si>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</si>
  <si>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</si>
  <si>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</si>
  <si>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</si>
  <si>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</si>
  <si>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</si>
  <si>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</si>
  <si>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</si>
  <si>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</si>
  <si>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</si>
  <si>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</si>
  <si>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</si>
  <si>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</si>
  <si>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</si>
  <si>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</si>
  <si>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</si>
  <si>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</si>
  <si>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</si>
  <si>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</si>
  <si>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</si>
  <si>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</si>
  <si>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</si>
  <si>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</si>
  <si>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</si>
  <si>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</si>
  <si>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</si>
  <si>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</si>
  <si>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</si>
  <si>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</si>
  <si>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</si>
  <si>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</si>
  <si>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</si>
  <si>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</si>
  <si>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</si>
  <si>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</si>
  <si>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</si>
  <si>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</si>
  <si>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</si>
  <si>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</si>
  <si>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</si>
  <si>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</si>
  <si>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</si>
  <si>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</si>
  <si>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</si>
  <si>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</si>
  <si>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</si>
  <si>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</si>
  <si>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</si>
  <si>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</si>
  <si>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</si>
  <si>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</si>
  <si>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</si>
  <si>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</si>
  <si>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</si>
  <si>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</si>
  <si>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</si>
  <si>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</si>
  <si>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</si>
  <si>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</si>
  <si>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</si>
  <si>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</si>
  <si>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</si>
  <si>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</si>
  <si>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</si>
  <si>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</si>
  <si>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</si>
  <si>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</si>
  <si>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</si>
  <si>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</si>
  <si>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</si>
  <si>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</si>
  <si>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</si>
  <si>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</si>
  <si>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</si>
  <si>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</si>
  <si>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</si>
  <si>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</si>
  <si>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</si>
  <si>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</si>
  <si>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</si>
  <si>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</si>
  <si>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</si>
  <si>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</si>
  <si>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</si>
  <si>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</si>
  <si>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</si>
  <si>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</si>
  <si>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</si>
  <si>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</si>
  <si>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</si>
  <si>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</si>
  <si>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</si>
  <si>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</si>
  <si>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</si>
  <si>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</si>
  <si>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</si>
  <si>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</si>
  <si>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</si>
  <si>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</si>
  <si>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</si>
  <si>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</si>
  <si>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</si>
  <si>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</si>
  <si>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</si>
  <si>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</si>
  <si>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</si>
  <si>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</si>
  <si>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</si>
  <si>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</si>
  <si>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</si>
  <si>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</si>
  <si>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</si>
  <si>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</si>
  <si>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</si>
  <si>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</si>
  <si>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</si>
  <si>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</si>
  <si>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</si>
  <si>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</si>
  <si>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</si>
  <si>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</si>
  <si>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</si>
  <si>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</si>
  <si>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</si>
  <si>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</si>
  <si>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</si>
  <si>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</si>
  <si>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</si>
  <si>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</si>
  <si>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</si>
  <si>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</si>
  <si>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</si>
  <si>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</si>
  <si>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</si>
  <si>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</si>
  <si>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</si>
  <si>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</si>
  <si>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</si>
  <si>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</si>
  <si>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</si>
  <si>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</si>
  <si>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</si>
  <si>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</si>
  <si>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</si>
  <si>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</si>
  <si>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</si>
  <si>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</si>
  <si>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</si>
  <si>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</si>
  <si>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</si>
  <si>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</si>
  <si>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</si>
  <si>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</si>
  <si>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</si>
  <si>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</si>
  <si>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</si>
  <si>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</si>
  <si>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</si>
  <si>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</si>
  <si>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</si>
  <si>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</si>
  <si>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</si>
  <si>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</si>
  <si>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</si>
  <si>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</si>
  <si>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</si>
  <si>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</si>
  <si>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</si>
  <si>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</si>
  <si>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</si>
  <si>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</si>
  <si>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</si>
  <si>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</si>
  <si>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</si>
  <si>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</si>
  <si>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</si>
  <si>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</si>
  <si>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</si>
  <si>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</si>
  <si>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</si>
  <si>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</si>
  <si>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</si>
  <si>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</si>
  <si>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</si>
  <si>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</si>
  <si>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</si>
  <si>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</si>
  <si>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</si>
  <si>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</si>
  <si>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</si>
  <si>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</si>
  <si>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</si>
  <si>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</si>
  <si>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</si>
  <si>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</si>
  <si>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</si>
  <si>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</si>
  <si>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</si>
  <si>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</si>
  <si>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</si>
  <si>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</si>
  <si>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</si>
  <si>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</si>
  <si>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</si>
  <si>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</si>
  <si>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</si>
  <si>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</si>
  <si>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</si>
  <si>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</si>
  <si>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</si>
  <si>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</si>
  <si>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</si>
  <si>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</si>
  <si>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</si>
  <si>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</si>
  <si>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</si>
  <si>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</si>
  <si>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</si>
  <si>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</si>
  <si>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</si>
  <si>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</si>
  <si>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</si>
  <si>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</si>
  <si>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</si>
  <si>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</si>
  <si>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</si>
  <si>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</si>
  <si>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</si>
  <si>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</si>
  <si>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</si>
  <si>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</si>
  <si>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</si>
  <si>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</si>
  <si>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</si>
  <si>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</si>
  <si>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</si>
  <si>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</si>
  <si>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</si>
  <si>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</si>
  <si>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</si>
  <si>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</si>
  <si>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</si>
  <si>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</si>
  <si>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</si>
  <si>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</si>
  <si>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</si>
  <si>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</si>
  <si>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</si>
  <si>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</si>
  <si>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</si>
  <si>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</si>
  <si>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</si>
  <si>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</si>
  <si>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</si>
  <si>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</si>
  <si>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</si>
  <si>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</si>
  <si>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</si>
  <si>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</si>
  <si>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</si>
  <si>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</si>
  <si>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</si>
  <si>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</si>
  <si>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</si>
  <si>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</si>
  <si>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</si>
  <si>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</si>
  <si>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</si>
  <si>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</si>
  <si>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</si>
  <si>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</si>
  <si>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</si>
  <si>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</si>
  <si>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</si>
  <si>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</si>
  <si>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</si>
  <si>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</si>
  <si>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</si>
  <si>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</si>
  <si>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</si>
  <si>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</si>
  <si>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</si>
  <si>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</si>
  <si>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</si>
  <si>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</si>
  <si>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</si>
  <si>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</si>
  <si>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</si>
  <si>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</si>
  <si>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</si>
  <si>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</si>
  <si>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</si>
  <si>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</si>
  <si>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</si>
  <si>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</si>
  <si>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</si>
  <si>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</si>
  <si>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</si>
  <si>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</si>
  <si>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</si>
  <si>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</si>
  <si>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</si>
  <si>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</si>
  <si>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</si>
  <si>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</si>
  <si>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</si>
  <si>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</si>
  <si>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</si>
  <si>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</si>
  <si>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</si>
  <si>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</si>
  <si>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</si>
  <si>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</si>
  <si>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</si>
  <si>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</si>
  <si>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</si>
  <si>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</si>
  <si>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</si>
  <si>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</si>
  <si>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</si>
  <si>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</si>
  <si>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</si>
  <si>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</si>
  <si>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</si>
  <si>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</si>
  <si>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</si>
  <si>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</si>
  <si>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</si>
  <si>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</si>
  <si>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</si>
  <si>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</si>
  <si>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</si>
  <si>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</si>
  <si>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</si>
  <si>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</si>
  <si>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</si>
  <si>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</si>
  <si>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</si>
  <si>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</si>
  <si>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</si>
  <si>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</si>
  <si>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</si>
  <si>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</si>
  <si>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</si>
  <si>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</si>
  <si>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</si>
  <si>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</si>
  <si>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</si>
  <si>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</si>
  <si>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</si>
  <si>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</si>
  <si>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</si>
  <si>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</si>
  <si>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</si>
  <si>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</si>
  <si>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</si>
  <si>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</si>
  <si>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</si>
  <si>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</si>
  <si>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</si>
  <si>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</si>
  <si>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</si>
  <si>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</si>
  <si>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</si>
  <si>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</si>
  <si>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</si>
  <si>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</si>
  <si>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</si>
  <si>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</si>
  <si>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</si>
  <si>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</si>
  <si>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</si>
  <si>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</si>
  <si>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</si>
  <si>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</si>
  <si>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</si>
  <si>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</si>
  <si>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</si>
  <si>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</si>
  <si>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</si>
  <si>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</si>
  <si>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</si>
  <si>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</si>
  <si>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</si>
  <si>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</si>
  <si>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</si>
  <si>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</si>
  <si>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</si>
  <si>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</si>
  <si>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</si>
  <si>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</si>
  <si>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</si>
  <si>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</si>
  <si>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</si>
  <si>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</si>
  <si>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</si>
  <si>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</si>
  <si>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</si>
  <si>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</si>
  <si>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</si>
  <si>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</si>
  <si>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</si>
  <si>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</si>
  <si>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</si>
  <si>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</si>
  <si>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</si>
  <si>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</si>
  <si>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</si>
  <si>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</si>
  <si>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</si>
  <si>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</si>
  <si>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</si>
  <si>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</si>
  <si>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</si>
  <si>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</si>
  <si>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</si>
  <si>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</si>
  <si>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</si>
  <si>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</si>
  <si>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</si>
  <si>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</si>
  <si>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</si>
  <si>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</si>
  <si>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</si>
  <si>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</si>
  <si>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</si>
  <si>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</si>
  <si>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</si>
  <si>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</si>
  <si>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</si>
  <si>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</si>
  <si>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</si>
  <si>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</si>
  <si>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</si>
  <si>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</si>
  <si>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</si>
  <si>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</si>
  <si>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</si>
  <si>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</si>
  <si>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</si>
  <si>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</si>
  <si>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</si>
  <si>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</si>
  <si>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</si>
  <si>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</si>
  <si>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</si>
  <si>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</si>
  <si>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</si>
  <si>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</si>
  <si>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</si>
  <si>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</si>
  <si>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</si>
  <si>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</si>
  <si>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</si>
  <si>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</si>
  <si>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</si>
  <si>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</si>
  <si>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</si>
  <si>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</si>
  <si>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</si>
  <si>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</si>
  <si>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</si>
  <si>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</si>
  <si>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</si>
  <si>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</si>
  <si>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</si>
  <si>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</si>
  <si>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</si>
  <si>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</si>
  <si>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</si>
  <si>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</si>
  <si>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</si>
  <si>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</si>
  <si>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</si>
  <si>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</si>
  <si>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</si>
  <si>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</si>
  <si>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</si>
  <si>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</si>
  <si>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</si>
  <si>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</si>
  <si>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</si>
  <si>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</si>
  <si>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</si>
  <si>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</si>
  <si>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</si>
  <si>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</si>
  <si>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</si>
  <si>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</si>
  <si>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</si>
  <si>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</si>
  <si>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</si>
  <si>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</si>
  <si>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</si>
  <si>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</si>
  <si>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</si>
  <si>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</si>
  <si>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</si>
  <si>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</si>
  <si>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</si>
  <si>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</si>
  <si>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</si>
  <si>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</si>
  <si>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</si>
  <si>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</si>
  <si>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</si>
  <si>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</si>
  <si>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</si>
  <si>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</si>
  <si>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</si>
  <si>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</si>
  <si>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</si>
  <si>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</si>
  <si>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</si>
  <si>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</si>
  <si>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</si>
  <si>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</si>
  <si>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</si>
  <si>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</si>
  <si>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</si>
  <si>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</si>
  <si>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</si>
  <si>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</si>
  <si>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</si>
  <si>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</si>
  <si>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</si>
  <si>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</si>
  <si>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</si>
  <si>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</si>
  <si>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</si>
  <si>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</si>
  <si>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</si>
  <si>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</si>
  <si>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</si>
  <si>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</si>
  <si>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</si>
  <si>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</si>
  <si>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</si>
  <si>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</si>
  <si>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</si>
  <si>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</si>
  <si>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</si>
  <si>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</si>
  <si>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</si>
  <si>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</si>
  <si>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</si>
  <si>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</si>
  <si>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</si>
  <si>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</si>
  <si>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</si>
  <si>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</si>
  <si>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</si>
  <si>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</si>
  <si>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</si>
  <si>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</si>
  <si>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</si>
  <si>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</si>
  <si>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</si>
  <si>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</si>
  <si>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</si>
  <si>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</si>
  <si>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</si>
  <si>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</si>
  <si>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</si>
  <si>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</si>
  <si>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</si>
  <si>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</si>
  <si>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</si>
  <si>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</si>
  <si>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</si>
  <si>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</si>
  <si>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</si>
  <si>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</si>
  <si>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</si>
  <si>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</si>
  <si>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</si>
  <si>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</si>
  <si>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</si>
  <si>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</si>
  <si>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</si>
  <si>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</si>
  <si>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</si>
  <si>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</si>
  <si>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</si>
  <si>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</si>
  <si>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</si>
  <si>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</si>
  <si>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</si>
  <si>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</si>
  <si>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</si>
  <si>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</si>
  <si>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</si>
  <si>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</si>
  <si>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</si>
  <si>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</si>
  <si>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</si>
  <si>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</si>
  <si>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</si>
  <si>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</si>
  <si>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</si>
  <si>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</si>
  <si>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</si>
  <si>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</si>
  <si>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</si>
  <si>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</si>
  <si>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</si>
  <si>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</si>
  <si>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</si>
  <si>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</si>
  <si>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</si>
  <si>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</si>
  <si>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</si>
  <si>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</si>
  <si>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</si>
  <si>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</si>
  <si>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</si>
  <si>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</si>
  <si>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</si>
  <si>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</si>
  <si>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</si>
  <si>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</si>
  <si>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</si>
  <si>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</si>
  <si>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</si>
  <si>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</si>
  <si>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</si>
  <si>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</si>
  <si>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</si>
  <si>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</si>
  <si>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</si>
  <si>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</si>
  <si>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</si>
  <si>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</si>
  <si>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</si>
  <si>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</si>
  <si>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</si>
  <si>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</si>
  <si>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</si>
  <si>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</si>
  <si>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</si>
  <si>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</si>
  <si>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</si>
  <si>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</si>
  <si>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</si>
  <si>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</si>
  <si>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</si>
  <si>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</si>
  <si>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</si>
  <si>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</si>
  <si>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</si>
  <si>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</si>
  <si>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</si>
  <si>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</si>
  <si>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</si>
  <si>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</si>
  <si>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</si>
  <si>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</si>
  <si>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</si>
  <si>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</si>
  <si>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</si>
  <si>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</si>
  <si>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</si>
  <si>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</si>
  <si>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</si>
  <si>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</si>
  <si>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</si>
  <si>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</si>
  <si>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</si>
  <si>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</si>
  <si>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</si>
  <si>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</si>
  <si>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</si>
  <si>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</si>
  <si>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</si>
  <si>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</si>
  <si>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</si>
  <si>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</si>
  <si>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</si>
  <si>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</si>
  <si>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</si>
  <si>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</si>
  <si>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</si>
  <si>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</si>
  <si>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</si>
  <si>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</si>
  <si>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</si>
  <si>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</si>
  <si>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</si>
  <si>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</si>
  <si>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</si>
  <si>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</si>
  <si>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</si>
  <si>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</si>
  <si>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</si>
  <si>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</si>
  <si>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</si>
  <si>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</si>
  <si>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</si>
  <si>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</si>
  <si>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</si>
  <si>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</si>
  <si>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</si>
  <si>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</si>
  <si>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</si>
  <si>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</si>
  <si>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</si>
  <si>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</si>
  <si>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</si>
  <si>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</si>
  <si>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</si>
  <si>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</si>
  <si>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</si>
  <si>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</si>
  <si>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</si>
  <si>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</si>
  <si>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</si>
  <si>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</si>
  <si>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</si>
  <si>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</si>
  <si>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</si>
  <si>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</si>
  <si>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</si>
  <si>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</si>
  <si>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</si>
  <si>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</si>
  <si>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</si>
  <si>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</si>
  <si>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</si>
  <si>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</si>
  <si>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</si>
  <si>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</si>
  <si>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</si>
  <si>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</si>
  <si>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</si>
  <si>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</si>
  <si>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</si>
  <si>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</si>
  <si>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</si>
  <si>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</si>
  <si>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</si>
  <si>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</si>
  <si>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</si>
  <si>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</si>
  <si>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</si>
  <si>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</si>
  <si>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</si>
  <si>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</si>
  <si>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</si>
  <si>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</si>
  <si>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</si>
  <si>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</si>
  <si>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</si>
  <si>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</si>
  <si>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</si>
  <si>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</si>
  <si>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</si>
  <si>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</si>
  <si>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</si>
  <si>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</si>
  <si>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</si>
  <si>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</si>
  <si>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</si>
  <si>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</si>
  <si>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</si>
  <si>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</si>
  <si>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</si>
  <si>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</si>
  <si>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</si>
  <si>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</si>
  <si>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</si>
  <si>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</si>
  <si>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</si>
  <si>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</si>
  <si>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</si>
  <si>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</si>
  <si>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</si>
  <si>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</si>
  <si>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</si>
  <si>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</si>
  <si>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</si>
  <si>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</si>
  <si>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</si>
  <si>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</si>
  <si>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</si>
  <si>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</si>
  <si>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</si>
  <si>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</si>
  <si>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</si>
  <si>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</si>
  <si>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</si>
  <si>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</si>
  <si>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</si>
  <si>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</si>
  <si>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</si>
  <si>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</si>
  <si>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</si>
  <si>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</si>
  <si>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</si>
  <si>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</si>
  <si>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</si>
  <si>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</si>
  <si>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</si>
  <si>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</si>
  <si>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</si>
  <si>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</si>
  <si>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</si>
  <si>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</si>
  <si>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</si>
  <si>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</si>
  <si>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</si>
  <si>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</si>
  <si>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</si>
  <si>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</si>
  <si>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</si>
  <si>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</si>
  <si>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</si>
  <si>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</si>
  <si>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</si>
  <si>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</si>
  <si>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</si>
  <si>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</si>
  <si>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</si>
  <si>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</si>
  <si>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</si>
  <si>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</si>
  <si>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</si>
  <si>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</si>
  <si>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</si>
  <si>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</si>
  <si>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</si>
  <si>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</si>
  <si>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</si>
  <si>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</si>
  <si>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</si>
  <si>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</si>
  <si>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</si>
  <si>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</si>
  <si>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</si>
  <si>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</si>
  <si>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</si>
  <si>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</si>
  <si>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</si>
  <si>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</si>
  <si>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</si>
  <si>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</si>
  <si>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</si>
  <si>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</si>
  <si>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</si>
  <si>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</si>
  <si>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</si>
  <si>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</si>
  <si>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</si>
  <si>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</si>
  <si>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</si>
  <si>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</si>
  <si>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</si>
  <si>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</si>
  <si>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</si>
  <si>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</si>
  <si>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</si>
  <si>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</si>
  <si>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</si>
  <si>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</si>
  <si>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</si>
  <si>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</si>
  <si>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</si>
  <si>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</si>
  <si>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</si>
  <si>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</si>
  <si>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</si>
  <si>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</si>
  <si>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</si>
  <si>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</si>
  <si>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</si>
  <si>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</si>
  <si>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</si>
  <si>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</si>
  <si>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</si>
  <si>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</si>
  <si>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</si>
  <si>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</si>
  <si>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</si>
  <si>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</si>
  <si>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</si>
  <si>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</si>
  <si>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</si>
  <si>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</si>
  <si>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</si>
  <si>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</si>
  <si>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</si>
  <si>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</si>
  <si>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</si>
  <si>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</si>
  <si>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</si>
  <si>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</si>
  <si>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</si>
  <si>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</si>
  <si>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</si>
  <si>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</si>
  <si>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</si>
  <si>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</si>
  <si>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</si>
  <si>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</si>
  <si>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</si>
  <si>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</si>
  <si>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</si>
  <si>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</si>
  <si>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</si>
  <si>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</si>
  <si>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</si>
  <si>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</si>
  <si>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</si>
  <si>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</si>
  <si>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</si>
  <si>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</si>
  <si>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</si>
  <si>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</si>
  <si>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</si>
  <si>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</si>
  <si>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</si>
  <si>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</si>
  <si>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</si>
  <si>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</si>
  <si>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</si>
  <si>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</si>
  <si>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</si>
  <si>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</si>
  <si>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</si>
  <si>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</si>
  <si>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</si>
  <si>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</si>
  <si>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</si>
  <si>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</si>
  <si>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</si>
  <si>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</si>
  <si>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</si>
  <si>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</si>
  <si>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</si>
  <si>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</si>
  <si>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</si>
  <si>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</si>
  <si>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</si>
  <si>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</si>
  <si>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</si>
  <si>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</si>
  <si>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</si>
  <si>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</si>
  <si>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</si>
  <si>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</si>
  <si>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</si>
  <si>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</si>
  <si>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</si>
  <si>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</si>
  <si>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</si>
  <si>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</si>
  <si>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</si>
  <si>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</si>
  <si>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</si>
  <si>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</si>
  <si>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</si>
  <si>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</si>
  <si>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</si>
  <si>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</si>
  <si>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</si>
  <si>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</si>
  <si>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неполный пакет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</si>
  <si>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</si>
  <si>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</si>
  <si>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</si>
  <si>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</si>
  <si>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</si>
  <si>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</si>
  <si>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</si>
  <si>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</si>
  <si>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</si>
  <si>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</si>
  <si>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</si>
  <si>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</si>
  <si>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</si>
  <si>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</si>
  <si>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</si>
  <si>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</si>
  <si>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</si>
  <si>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</si>
  <si>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</si>
  <si>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</si>
  <si>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</si>
  <si>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</si>
  <si>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</si>
  <si>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</si>
  <si>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</si>
  <si>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</si>
  <si>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</si>
  <si>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</si>
  <si>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</si>
  <si>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</si>
  <si>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</si>
  <si>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</si>
  <si>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</si>
  <si>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</si>
  <si>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</si>
  <si>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</si>
  <si>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</si>
  <si>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</si>
  <si>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</si>
  <si>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</si>
  <si>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</si>
  <si>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</si>
  <si>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</si>
  <si>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</si>
  <si>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</si>
  <si>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</si>
  <si>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</si>
  <si>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</si>
  <si>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</si>
  <si>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</si>
  <si>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</si>
  <si>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</si>
  <si>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</si>
  <si>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</si>
  <si>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</si>
  <si>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</si>
  <si>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</si>
  <si>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</si>
  <si>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</si>
  <si>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</si>
  <si>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</si>
  <si>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</si>
  <si>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</si>
  <si>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</si>
  <si>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</si>
  <si>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</si>
  <si>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</si>
  <si>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</si>
  <si>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</si>
  <si>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</si>
  <si>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</si>
  <si>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</si>
  <si>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</si>
  <si>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</si>
  <si>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</si>
  <si>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</si>
  <si>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</si>
  <si>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</si>
  <si>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</si>
  <si>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</si>
  <si>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</si>
  <si>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</si>
  <si>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</si>
  <si>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</si>
  <si>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</si>
  <si>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</si>
  <si>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</si>
  <si>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</si>
  <si>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</si>
  <si>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</si>
  <si>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</si>
  <si>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</si>
  <si>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</si>
  <si>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</si>
  <si>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</si>
  <si>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</si>
  <si>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</si>
  <si>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</si>
  <si>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</si>
  <si>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</si>
  <si>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</si>
  <si>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</si>
  <si>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</si>
  <si>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</si>
  <si>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</si>
  <si>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</si>
  <si>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</si>
  <si>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</si>
  <si>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</si>
  <si>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</si>
  <si>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</si>
  <si>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</si>
  <si>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</si>
  <si>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</si>
  <si>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</si>
  <si>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</si>
  <si>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</si>
  <si>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</si>
  <si>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</si>
  <si>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</si>
  <si>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</si>
  <si>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</si>
  <si>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</si>
  <si>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</si>
  <si>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</si>
  <si>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</si>
  <si>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</si>
  <si>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</si>
  <si>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</si>
  <si>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</si>
  <si>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</si>
  <si>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</si>
  <si>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</si>
  <si>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</si>
  <si>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</si>
  <si>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</si>
  <si>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</si>
  <si>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</si>
  <si>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</si>
  <si>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</si>
  <si>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</si>
  <si>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</si>
  <si>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</si>
  <si>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</si>
  <si>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</si>
  <si>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</si>
  <si>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</si>
  <si>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</si>
  <si>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</si>
  <si>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</si>
  <si>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</si>
  <si>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</si>
  <si>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</si>
  <si>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</si>
  <si>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</si>
  <si>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</si>
  <si>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</si>
  <si>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</si>
  <si>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</si>
  <si>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</si>
  <si>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</si>
  <si>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</si>
  <si>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</si>
  <si>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</si>
  <si>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</si>
  <si>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</si>
  <si>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</si>
  <si>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</si>
  <si>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</si>
  <si>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</si>
  <si>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</si>
  <si>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</si>
  <si>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</si>
  <si>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</si>
  <si>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</si>
  <si>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</si>
  <si>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</si>
  <si>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</si>
  <si>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</si>
  <si>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</si>
  <si>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</si>
  <si>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</si>
  <si>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</si>
  <si>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</si>
  <si>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</si>
  <si>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</si>
  <si>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</si>
  <si>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</si>
  <si>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</si>
  <si>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</si>
  <si>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</si>
  <si>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</si>
  <si>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</si>
  <si>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</si>
  <si>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</si>
  <si>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</si>
  <si>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</si>
  <si>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</si>
  <si>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</si>
  <si>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</si>
  <si>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</si>
  <si>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</si>
  <si>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</si>
  <si>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</si>
  <si>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</si>
  <si>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</si>
  <si>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</si>
  <si>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</si>
  <si>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</si>
  <si>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</si>
  <si>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</si>
  <si>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</si>
  <si>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</si>
  <si>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</si>
  <si>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</si>
  <si>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</si>
  <si>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</si>
  <si>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</si>
  <si>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</si>
  <si>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</si>
  <si>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</si>
  <si>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</si>
  <si>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</si>
  <si>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</si>
  <si>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</si>
  <si>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</si>
  <si>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</si>
  <si>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</si>
  <si>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</si>
  <si>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</si>
  <si>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</si>
  <si>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</si>
  <si>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</si>
  <si>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</si>
  <si>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</si>
  <si>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</si>
  <si>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</si>
  <si>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</si>
  <si>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</si>
  <si>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</si>
  <si>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</si>
  <si>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</si>
  <si>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</si>
  <si>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</si>
  <si>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</si>
  <si>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</si>
  <si>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</si>
  <si>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</si>
  <si>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</si>
  <si>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</si>
  <si>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</si>
  <si>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</si>
  <si>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</si>
  <si>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</si>
  <si>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</si>
  <si>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</si>
  <si>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</si>
  <si>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</si>
  <si>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</si>
  <si>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</si>
  <si>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</si>
  <si>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</si>
  <si>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</si>
  <si>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</si>
  <si>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</si>
  <si>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</si>
  <si>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</si>
  <si>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</si>
  <si>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</si>
  <si>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</si>
  <si>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</si>
  <si>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</si>
  <si>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</si>
  <si>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</si>
  <si>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</si>
  <si>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</si>
  <si>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</si>
  <si>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</si>
  <si>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</si>
  <si>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</si>
  <si>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</si>
  <si>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</si>
  <si>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</si>
  <si>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</si>
  <si>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</si>
  <si>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</si>
  <si>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</si>
  <si>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</si>
  <si>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</si>
  <si>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</si>
  <si>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</si>
  <si>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</si>
  <si>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</si>
  <si>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</si>
  <si>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</si>
  <si>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</si>
  <si>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</si>
  <si>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</si>
  <si>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</si>
  <si>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</si>
  <si>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</si>
  <si>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</si>
  <si>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</si>
  <si>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</si>
  <si>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</si>
  <si>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</si>
  <si>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</si>
  <si>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</si>
  <si>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</si>
  <si>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</si>
  <si>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</si>
  <si>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</si>
  <si>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</si>
  <si>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</si>
  <si>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</si>
  <si>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</si>
  <si>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</si>
  <si>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</si>
  <si>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</si>
  <si>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</si>
  <si>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</si>
  <si>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</si>
  <si>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</si>
  <si>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</si>
  <si>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</si>
  <si>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</si>
  <si>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</si>
  <si>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</si>
  <si>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</si>
  <si>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</si>
  <si>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</si>
  <si>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</si>
  <si>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</si>
  <si>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</si>
  <si>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</si>
  <si>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</si>
  <si>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</si>
  <si>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</si>
  <si>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</si>
  <si>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</si>
  <si>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</si>
  <si>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</si>
  <si>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</si>
  <si>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</si>
  <si>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</si>
  <si>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</si>
  <si>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</si>
  <si>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</si>
  <si>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</si>
  <si>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</si>
  <si>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</si>
  <si>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</si>
  <si>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</si>
  <si>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</si>
  <si>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</si>
  <si>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</si>
  <si>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</si>
  <si>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</si>
  <si>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</si>
  <si>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</si>
  <si>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</si>
  <si>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</si>
  <si>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</si>
  <si>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</si>
  <si>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</si>
  <si>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</si>
  <si>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</si>
  <si>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</si>
  <si>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</si>
  <si>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</si>
  <si>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</si>
  <si>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</si>
  <si>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</si>
  <si>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</si>
  <si>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</si>
  <si>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</si>
  <si>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</si>
  <si>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</si>
  <si>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</si>
  <si>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</si>
  <si>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</si>
  <si>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</si>
  <si>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</si>
  <si>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</si>
  <si>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</si>
  <si>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</si>
  <si>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</si>
  <si>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</si>
  <si>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</si>
  <si>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</si>
  <si>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</si>
  <si>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</si>
  <si>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</si>
  <si>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</si>
  <si>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</si>
  <si>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</si>
  <si>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</si>
  <si>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</si>
  <si>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</si>
  <si>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</si>
  <si>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</si>
  <si>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</si>
  <si>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</si>
  <si>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</si>
  <si>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</si>
  <si>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</si>
  <si>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</si>
  <si>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</si>
  <si>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</si>
  <si>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</si>
  <si>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</si>
  <si>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</si>
  <si>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</si>
  <si>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</si>
  <si>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</si>
  <si>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</si>
  <si>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</si>
  <si>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</si>
  <si>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</si>
  <si>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</si>
  <si>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</si>
  <si>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</si>
  <si>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</si>
  <si>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</si>
  <si>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</si>
  <si>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</si>
  <si>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</si>
  <si>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</si>
  <si>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</si>
  <si>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</si>
  <si>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</si>
  <si>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</si>
  <si>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</si>
  <si>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</si>
  <si>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</si>
  <si>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</si>
  <si>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</si>
  <si>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</si>
  <si>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</si>
  <si>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</si>
  <si>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</si>
  <si>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</si>
  <si>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</si>
  <si>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</si>
  <si>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</si>
  <si>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</si>
  <si>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</si>
  <si>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</si>
  <si>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</si>
  <si>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</si>
  <si>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</si>
  <si>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</si>
  <si>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</si>
  <si>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</si>
  <si>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</si>
  <si>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</si>
  <si>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</si>
  <si>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</si>
  <si>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</si>
  <si>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</si>
  <si>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</si>
  <si>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</si>
  <si>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</si>
  <si>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</si>
  <si>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</si>
  <si>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</si>
  <si>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</si>
  <si>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</si>
  <si>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</si>
  <si>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</si>
  <si>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</si>
  <si>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</si>
  <si>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</si>
  <si>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</si>
  <si>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</si>
  <si>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</si>
  <si>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</si>
  <si>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</si>
  <si>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</si>
  <si>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</si>
  <si>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</si>
  <si>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</si>
  <si>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</si>
  <si>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</si>
  <si>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</si>
  <si>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</si>
  <si>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</si>
  <si>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</si>
  <si>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</si>
  <si>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</si>
  <si>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</si>
  <si>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</si>
  <si>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</si>
  <si>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</si>
  <si>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</si>
  <si>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</si>
  <si>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</si>
  <si>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</si>
  <si>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</si>
  <si>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</si>
  <si>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</si>
  <si>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</si>
  <si>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</si>
  <si>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</si>
  <si>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</si>
  <si>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</si>
  <si>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</si>
  <si>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</si>
  <si>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</si>
  <si>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</si>
  <si>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</si>
  <si>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</si>
  <si>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</si>
  <si>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</si>
  <si>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</si>
  <si>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</si>
  <si>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</si>
  <si>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</si>
  <si>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</si>
  <si>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</si>
  <si>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</si>
  <si>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</si>
  <si>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</si>
  <si>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</si>
  <si>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</si>
  <si>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</si>
  <si>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</si>
  <si>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</si>
  <si>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</si>
  <si>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</si>
  <si>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</si>
  <si>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</si>
  <si>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</si>
  <si>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</si>
  <si>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</si>
  <si>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</si>
  <si>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</si>
  <si>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</si>
  <si>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</si>
  <si>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</si>
  <si>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</si>
  <si>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</si>
  <si>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</si>
  <si>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</si>
  <si>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</si>
  <si>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</si>
  <si>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</si>
  <si>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</si>
  <si>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</si>
  <si>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</si>
  <si>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</si>
  <si>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</si>
  <si>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</si>
  <si>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</si>
  <si>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</si>
  <si>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</si>
  <si>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</si>
  <si>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</si>
  <si>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</si>
  <si>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</si>
  <si>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</si>
  <si>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</si>
  <si>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</si>
  <si>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</si>
  <si>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</si>
  <si>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</si>
  <si>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</si>
  <si>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</si>
  <si>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</si>
  <si>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</si>
  <si>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</si>
  <si>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</si>
  <si>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</si>
  <si>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</si>
  <si>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</si>
  <si>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</si>
  <si>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</si>
  <si>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</si>
  <si>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</si>
  <si>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</si>
  <si>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</si>
  <si>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</si>
  <si>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</si>
  <si>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</si>
  <si>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</si>
  <si>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</si>
  <si>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</si>
  <si>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</si>
  <si>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</si>
  <si>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</si>
  <si>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</si>
  <si>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</si>
  <si>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</si>
  <si>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</si>
  <si>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</si>
  <si>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</si>
  <si>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</si>
  <si>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</si>
  <si>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</si>
  <si>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</si>
  <si>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</si>
  <si>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</si>
  <si>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</si>
  <si>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</si>
  <si>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</si>
  <si>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</si>
  <si>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</si>
  <si>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</si>
  <si>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</si>
  <si>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</si>
  <si>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</si>
  <si>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</si>
  <si>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</si>
  <si>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</si>
  <si>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</si>
  <si>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</si>
  <si>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</si>
  <si>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</si>
  <si>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</si>
  <si>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</si>
  <si>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</si>
  <si>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</si>
  <si>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</si>
  <si>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</si>
  <si>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</si>
  <si>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</si>
  <si>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</si>
  <si>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</si>
  <si>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</si>
  <si>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</si>
  <si>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</si>
  <si>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</si>
  <si>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</si>
  <si>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</si>
  <si>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</si>
  <si>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</si>
  <si>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</si>
  <si>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</si>
  <si>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</si>
  <si>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</si>
  <si>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</si>
  <si>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</si>
  <si>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</si>
  <si>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</si>
  <si>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</si>
  <si>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</si>
  <si>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</si>
  <si>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</si>
  <si>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</si>
  <si>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</si>
  <si>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</si>
  <si>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</si>
  <si>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</si>
  <si>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</si>
  <si>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</si>
  <si>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</si>
  <si>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</si>
  <si>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</si>
  <si>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</si>
  <si>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</si>
  <si>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</si>
  <si>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</si>
  <si>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</si>
  <si>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</si>
  <si>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</si>
  <si>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</si>
  <si>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</si>
  <si>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</si>
  <si>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</si>
  <si>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</si>
  <si>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</si>
  <si>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</si>
  <si>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</si>
  <si>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</si>
  <si>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</si>
  <si>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</si>
  <si>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</si>
  <si>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</si>
  <si>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</si>
  <si>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</si>
  <si>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</si>
  <si>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</si>
  <si>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</si>
  <si>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</si>
  <si>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</si>
  <si>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</si>
  <si>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</si>
  <si>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</si>
  <si>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</si>
  <si>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</si>
  <si>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</si>
  <si>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</si>
  <si>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</si>
  <si>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</si>
  <si>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</si>
  <si>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</si>
  <si>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</si>
  <si>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</si>
  <si>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</si>
  <si>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</si>
  <si>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</si>
  <si>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</si>
  <si>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</si>
  <si>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</si>
  <si>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</si>
  <si>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</si>
  <si>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</si>
  <si>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</si>
  <si>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</si>
  <si>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</si>
  <si>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</si>
  <si>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</si>
  <si>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</si>
  <si>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</si>
  <si>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</si>
  <si>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</si>
  <si>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</si>
  <si>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</si>
  <si>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</si>
  <si>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</si>
  <si>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</si>
  <si>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</si>
  <si>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</si>
  <si>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</si>
  <si>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</si>
  <si>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</si>
  <si>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</si>
  <si>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</si>
  <si>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</si>
  <si>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</si>
  <si>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</si>
  <si>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</si>
  <si>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</si>
  <si>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</si>
  <si>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</si>
  <si>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</si>
  <si>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</si>
  <si>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</si>
  <si>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</si>
  <si>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</si>
  <si>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</si>
  <si>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</si>
  <si>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</si>
  <si>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</si>
  <si>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</si>
  <si>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</si>
  <si>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</si>
  <si>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</si>
  <si>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</si>
  <si>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</si>
  <si>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</si>
  <si>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</si>
  <si>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</si>
  <si>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</si>
  <si>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</si>
  <si>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</si>
  <si>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</si>
  <si>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</si>
  <si>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</si>
  <si>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</si>
  <si>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</si>
  <si>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</si>
  <si>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</si>
  <si>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</si>
  <si>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</si>
  <si>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</si>
  <si>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</si>
  <si>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</si>
  <si>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</si>
  <si>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</si>
  <si>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</si>
  <si>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</si>
  <si>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</si>
  <si>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</si>
  <si>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</si>
  <si>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</si>
  <si>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</si>
  <si>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</si>
  <si>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</si>
  <si>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</si>
  <si>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</si>
  <si>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</si>
  <si>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</si>
  <si>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</si>
  <si>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</si>
  <si>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</si>
  <si>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</si>
  <si>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</si>
  <si>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</si>
  <si>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</si>
  <si>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</si>
  <si>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</si>
  <si>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</si>
  <si>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</si>
  <si>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</si>
  <si>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</si>
  <si>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</si>
  <si>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</si>
  <si>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</si>
  <si>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</si>
  <si>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</si>
  <si>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</si>
  <si>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</si>
  <si>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</si>
  <si>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</si>
  <si>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</si>
  <si>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</si>
  <si>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</si>
  <si>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</si>
  <si>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</si>
  <si>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</si>
  <si>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</si>
  <si>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</si>
  <si>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</si>
  <si>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</si>
  <si>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</si>
  <si>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</si>
  <si>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</si>
  <si>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</si>
  <si>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</si>
  <si>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</si>
  <si>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</si>
  <si>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</si>
  <si>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</si>
  <si>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</si>
  <si>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</si>
  <si>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</si>
  <si>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</si>
  <si>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</si>
  <si>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</si>
  <si>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</si>
  <si>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</si>
  <si>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</si>
  <si>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</si>
  <si>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</si>
  <si>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</si>
  <si>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</si>
  <si>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</si>
  <si>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</si>
  <si>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</si>
  <si>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</si>
  <si>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</si>
  <si>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</si>
  <si>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</si>
  <si>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</si>
  <si>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</si>
  <si>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</si>
  <si>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</si>
  <si>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</si>
  <si>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</si>
  <si>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</si>
  <si>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</si>
  <si>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</si>
  <si>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</si>
  <si>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</si>
  <si>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</si>
  <si>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</si>
  <si>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</si>
  <si>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</si>
  <si>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</si>
  <si>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</si>
  <si>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</si>
  <si>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</si>
  <si>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</si>
  <si>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</si>
  <si>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</si>
  <si>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</si>
  <si>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</si>
  <si>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</si>
  <si>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</si>
  <si>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</si>
  <si>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</si>
  <si>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</si>
  <si>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</si>
  <si>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</si>
  <si>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</si>
  <si>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</si>
  <si>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</si>
  <si>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</si>
  <si>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</si>
  <si>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</si>
  <si>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</si>
  <si>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</si>
  <si>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</si>
  <si>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</si>
  <si>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</si>
  <si>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</si>
  <si>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</si>
  <si>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</si>
  <si>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</si>
  <si>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</si>
  <si>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</si>
  <si>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</si>
  <si>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</si>
  <si>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</si>
  <si>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</si>
  <si>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</si>
  <si>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</si>
  <si>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</si>
  <si>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</si>
  <si>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</si>
  <si>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</si>
  <si>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</si>
  <si>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</si>
  <si>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</si>
  <si>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</si>
  <si>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</si>
  <si>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</si>
  <si>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</si>
  <si>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</si>
  <si>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</si>
  <si>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</si>
  <si>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</si>
  <si>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</si>
  <si>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</si>
  <si>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</si>
  <si>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</si>
  <si>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</si>
  <si>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</si>
  <si>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</si>
  <si>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</si>
  <si>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</si>
  <si>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</si>
  <si>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</si>
  <si>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</si>
  <si>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</si>
  <si>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</si>
  <si>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</si>
  <si>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</si>
  <si>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</si>
  <si>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</si>
  <si>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</si>
  <si>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</si>
  <si>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</si>
  <si>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</si>
  <si>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</si>
  <si>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</si>
  <si>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</si>
  <si>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</si>
  <si>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</si>
  <si>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</si>
  <si>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</si>
  <si>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</si>
  <si>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</si>
  <si>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</si>
  <si>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</si>
  <si>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</si>
  <si>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</si>
  <si>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</si>
  <si>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</si>
  <si>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</si>
  <si>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</si>
  <si>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</si>
  <si>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</si>
  <si>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</si>
  <si>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</si>
  <si>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</si>
  <si>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</si>
  <si>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</si>
  <si>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</si>
  <si>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</si>
  <si>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</si>
  <si>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</si>
  <si>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</si>
  <si>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</si>
  <si>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</si>
  <si>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</si>
  <si>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</si>
  <si>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</si>
  <si>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</si>
  <si>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</si>
  <si>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</si>
  <si>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</si>
  <si>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</si>
  <si>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</si>
  <si>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</si>
  <si>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</si>
  <si>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</si>
  <si>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</si>
  <si>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</si>
  <si>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</si>
  <si>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</si>
  <si>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</si>
  <si>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</si>
  <si>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</si>
  <si>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</si>
  <si>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</si>
  <si>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</si>
  <si>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</si>
  <si>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</si>
  <si>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</si>
  <si>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</si>
  <si>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</si>
  <si>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</si>
  <si>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</si>
  <si>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</si>
  <si>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</si>
  <si>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</si>
  <si>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</si>
  <si>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</si>
  <si>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</si>
  <si>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</si>
  <si>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</si>
  <si>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</si>
  <si>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</si>
  <si>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</si>
  <si>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</si>
  <si>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</si>
  <si>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</si>
  <si>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</si>
  <si>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</si>
  <si>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</si>
  <si>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</si>
  <si>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</si>
  <si>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</si>
  <si>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</si>
  <si>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</si>
  <si>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</si>
  <si>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</si>
  <si>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</si>
  <si>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</si>
  <si>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</si>
  <si>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</si>
  <si>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</si>
  <si>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</si>
  <si>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</si>
  <si>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</si>
  <si>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</si>
  <si>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</si>
  <si>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</si>
  <si>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</si>
  <si>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</si>
  <si>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</si>
  <si>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</si>
  <si>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</si>
  <si>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</si>
  <si>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</si>
  <si>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</si>
  <si>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</si>
  <si>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</si>
  <si>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</si>
  <si>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</si>
  <si>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</si>
  <si>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</si>
  <si>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</si>
  <si>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</si>
  <si>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</si>
  <si>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</si>
  <si>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</si>
  <si>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</si>
  <si>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</si>
  <si>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</si>
  <si>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</si>
  <si>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</si>
  <si>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</si>
  <si>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</si>
  <si>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</si>
  <si>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</si>
  <si>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</si>
  <si>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</si>
  <si>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</si>
  <si>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</si>
  <si>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</si>
  <si>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</si>
  <si>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</si>
  <si>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</si>
  <si>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</si>
  <si>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</si>
  <si>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</si>
  <si>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</si>
  <si>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</si>
  <si>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</si>
  <si>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</si>
  <si>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</si>
  <si>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</si>
  <si>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</si>
  <si>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</si>
  <si>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</si>
  <si>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</si>
  <si>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</si>
  <si>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</si>
  <si>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</si>
  <si>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</si>
  <si>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</si>
  <si>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</si>
  <si>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</si>
  <si>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</si>
  <si>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</si>
  <si>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</si>
  <si>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</si>
  <si>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</si>
  <si>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</si>
  <si>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</si>
  <si>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</si>
  <si>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</si>
  <si>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</si>
  <si>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</si>
  <si>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</si>
  <si>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</si>
  <si>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</si>
  <si>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</si>
  <si>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</si>
  <si>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</si>
  <si>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</si>
  <si>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</si>
  <si>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</si>
  <si>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</si>
  <si>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</si>
  <si>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</si>
  <si>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</si>
  <si>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</si>
  <si>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</si>
  <si>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</si>
  <si>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</si>
  <si>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</si>
  <si>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</si>
  <si>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</si>
  <si>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</si>
  <si>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</si>
  <si>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</si>
  <si>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</si>
  <si>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</si>
  <si>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</si>
  <si>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</si>
  <si>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</si>
  <si>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</si>
  <si>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</si>
  <si>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</si>
  <si>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</si>
  <si>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</si>
  <si>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</si>
  <si>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</si>
  <si>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</si>
  <si>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</si>
  <si>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</si>
  <si>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</si>
  <si>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</si>
  <si>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</si>
  <si>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</si>
  <si>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</si>
  <si>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</si>
  <si>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</si>
  <si>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</si>
  <si>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</si>
  <si>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</si>
  <si>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</si>
  <si>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</si>
  <si>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</si>
  <si>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</si>
  <si>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</si>
  <si>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</si>
  <si>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</si>
  <si>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</si>
  <si>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</si>
  <si>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</si>
  <si>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</si>
  <si>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</si>
  <si>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</si>
  <si>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</si>
  <si>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</si>
  <si>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</si>
  <si>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</si>
  <si>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</si>
  <si>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</si>
  <si>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</si>
  <si>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</si>
  <si>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</si>
  <si>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</si>
  <si>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</si>
  <si>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</si>
  <si>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</si>
  <si>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</si>
  <si>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</si>
  <si>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</si>
  <si>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</si>
  <si>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</si>
  <si>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</si>
  <si>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</si>
  <si>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</si>
  <si>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</si>
  <si>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</si>
  <si>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</si>
  <si>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</si>
  <si>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</si>
  <si>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</si>
  <si>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</si>
  <si>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</si>
  <si>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</si>
  <si>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</si>
  <si>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</si>
  <si>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</si>
  <si>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</si>
  <si>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</si>
  <si>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</si>
  <si>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</si>
  <si>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</si>
  <si>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</si>
  <si>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</si>
  <si>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</si>
  <si>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</si>
  <si>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</si>
  <si>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</si>
  <si>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</si>
  <si>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</si>
  <si>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</si>
  <si>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</si>
  <si>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</si>
  <si>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</si>
  <si>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</si>
  <si>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</si>
  <si>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</si>
  <si>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</si>
  <si>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</si>
  <si>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</si>
  <si>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</si>
  <si>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</si>
  <si>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</si>
  <si>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</si>
  <si>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</si>
  <si>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</si>
  <si>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</si>
  <si>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</si>
  <si>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</si>
  <si>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</si>
  <si>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</si>
  <si>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</si>
  <si>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</si>
  <si>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</si>
  <si>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</si>
  <si>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</si>
  <si>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</si>
  <si>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</si>
  <si>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</si>
  <si>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</si>
  <si>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</si>
  <si>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</si>
  <si>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</si>
  <si>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</si>
  <si>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</si>
  <si>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</si>
  <si>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</si>
  <si>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</si>
  <si>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</si>
  <si>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</si>
  <si>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</si>
  <si>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</si>
  <si>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</si>
  <si>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</si>
  <si>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</si>
  <si>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</si>
  <si>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</si>
  <si>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</si>
  <si>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</si>
  <si>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</si>
  <si>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</si>
  <si>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</si>
  <si>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</si>
  <si>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</si>
  <si>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</si>
  <si>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</si>
  <si>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</si>
  <si>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</si>
  <si>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</si>
  <si>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</si>
  <si>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</si>
  <si>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</si>
  <si>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</si>
  <si>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</si>
  <si>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</si>
  <si>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</si>
  <si>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</si>
  <si>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</si>
  <si>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</si>
  <si>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</si>
  <si>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</si>
  <si>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</si>
  <si>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</si>
  <si>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</si>
  <si>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</si>
  <si>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</si>
  <si>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</si>
  <si>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</si>
  <si>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</si>
  <si>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</si>
  <si>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</si>
  <si>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</si>
  <si>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</si>
  <si>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</si>
  <si>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</si>
  <si>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</si>
  <si>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</si>
  <si>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</si>
  <si>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</si>
  <si>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</si>
  <si>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</si>
  <si>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</si>
  <si>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</si>
  <si>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</si>
  <si>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</si>
  <si>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</si>
  <si>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</si>
  <si>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</si>
  <si>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</si>
  <si>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</si>
  <si>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</si>
  <si>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</si>
  <si>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</si>
  <si>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</si>
  <si>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</si>
  <si>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</si>
  <si>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</si>
  <si>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</si>
  <si>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</si>
  <si>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</si>
  <si>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</si>
  <si>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</si>
  <si>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</si>
  <si>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</si>
  <si>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</si>
  <si>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</si>
  <si>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</si>
  <si>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</si>
  <si>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</si>
  <si>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</si>
  <si>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</si>
  <si>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</si>
  <si>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</si>
  <si>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</si>
  <si>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</si>
  <si>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</si>
  <si>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</si>
  <si>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</si>
  <si>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</si>
  <si>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</si>
  <si>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</si>
  <si>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</si>
  <si>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</si>
  <si>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</si>
  <si>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</si>
  <si>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</si>
  <si>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</si>
  <si>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</si>
  <si>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</si>
  <si>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</si>
  <si>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</si>
  <si>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</si>
  <si>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</si>
  <si>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</si>
  <si>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</si>
  <si>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</si>
  <si>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</si>
  <si>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</si>
  <si>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</si>
  <si>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</si>
  <si>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</si>
  <si>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</si>
  <si>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</si>
  <si>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</si>
  <si>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</si>
  <si>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</si>
  <si>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</si>
  <si>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</si>
  <si>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</si>
  <si>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</si>
  <si>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</si>
  <si>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</si>
  <si>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</si>
  <si>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</si>
  <si>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</si>
  <si>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</si>
  <si>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</si>
  <si>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</si>
  <si>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</si>
  <si>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</si>
  <si>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</si>
  <si>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</si>
  <si>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</si>
  <si>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</si>
  <si>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</si>
  <si>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</si>
  <si>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</si>
  <si>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</si>
  <si>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</si>
  <si>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</si>
  <si>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</si>
  <si>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</si>
  <si>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</si>
  <si>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</si>
  <si>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</si>
  <si>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</si>
  <si>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</si>
  <si>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</si>
  <si>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</si>
  <si>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</si>
  <si>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</si>
  <si>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</si>
  <si>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</si>
  <si>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</si>
  <si>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</si>
  <si>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</si>
  <si>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</si>
  <si>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</si>
  <si>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</si>
  <si>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</si>
  <si>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</si>
  <si>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</si>
  <si>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</si>
  <si>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</si>
  <si>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</si>
  <si>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</si>
  <si>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</si>
  <si>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</si>
  <si>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</si>
  <si>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</si>
  <si>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</si>
  <si>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</si>
  <si>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</si>
  <si>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</si>
  <si>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</si>
  <si>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</si>
  <si>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</si>
  <si>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</si>
  <si>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</si>
  <si>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</si>
  <si>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</si>
  <si>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</si>
  <si>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</si>
  <si>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</si>
  <si>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</si>
  <si>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</si>
  <si>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</si>
  <si>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</si>
  <si>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</si>
  <si>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</si>
  <si>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</si>
  <si>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</si>
  <si>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</si>
  <si>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</si>
  <si>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</si>
  <si>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</si>
  <si>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</si>
  <si>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</si>
  <si>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</si>
  <si>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</si>
  <si>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</si>
  <si>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</si>
  <si>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</si>
  <si>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</si>
  <si>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</si>
  <si>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</si>
  <si>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</si>
  <si>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</si>
  <si>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</si>
  <si>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</si>
  <si>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</si>
  <si>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</si>
  <si>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</si>
  <si>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</si>
  <si>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</si>
  <si>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</si>
  <si>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</si>
  <si>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</si>
  <si>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</si>
  <si>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</si>
  <si>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</si>
  <si>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</si>
  <si>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</si>
  <si>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</si>
  <si>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</si>
  <si>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</si>
  <si>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</si>
  <si>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</si>
  <si>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</si>
  <si>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</si>
  <si>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</si>
  <si>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</si>
  <si>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</si>
  <si>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</si>
  <si>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</si>
  <si>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</si>
  <si>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</si>
  <si>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</si>
  <si>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</si>
  <si>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</si>
  <si>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</si>
  <si>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</si>
  <si>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</si>
  <si>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</si>
  <si>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</si>
  <si>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</si>
  <si>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</si>
  <si>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</si>
  <si>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</si>
  <si>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</si>
  <si>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</si>
  <si>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</si>
  <si>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</si>
  <si>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</si>
  <si>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</si>
  <si>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</si>
  <si>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</si>
  <si>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</si>
  <si>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</si>
  <si>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</si>
  <si>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</si>
  <si>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</si>
  <si>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</si>
  <si>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</si>
  <si>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</si>
  <si>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</si>
  <si>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</si>
  <si>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</si>
  <si>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</si>
  <si>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</si>
  <si>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</si>
  <si>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</si>
  <si>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</si>
  <si>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</si>
  <si>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</si>
  <si>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</si>
  <si>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</si>
  <si>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</si>
  <si>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</si>
  <si>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</si>
  <si>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</si>
  <si>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</si>
  <si>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</si>
  <si>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</si>
  <si>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</si>
  <si>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</si>
  <si>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</si>
  <si>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</si>
  <si>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</si>
  <si>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</si>
  <si>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</si>
  <si>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</si>
  <si>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</si>
  <si>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</si>
  <si>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</si>
  <si>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</si>
  <si>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</si>
  <si>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</si>
  <si>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</si>
  <si>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</si>
  <si>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</si>
  <si>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</si>
  <si>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</si>
  <si>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</si>
  <si>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</si>
  <si>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</si>
  <si>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</si>
  <si>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</si>
  <si>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</si>
  <si>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</si>
  <si>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</si>
  <si>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</si>
  <si>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</si>
  <si>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</si>
  <si>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</si>
  <si>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</si>
  <si>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</si>
  <si>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</si>
  <si>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</si>
  <si>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</si>
  <si>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</si>
  <si>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</si>
  <si>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</si>
  <si>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</si>
  <si>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</si>
  <si>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</si>
  <si>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</si>
  <si>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</si>
  <si>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</si>
  <si>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</si>
  <si>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</si>
  <si>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</si>
  <si>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</si>
  <si>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</si>
  <si>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</si>
  <si>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</si>
  <si>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</si>
  <si>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</si>
  <si>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</si>
  <si>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</si>
  <si>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</si>
  <si>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</si>
  <si>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</si>
  <si>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</si>
  <si>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</si>
  <si>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</si>
  <si>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</si>
  <si>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</si>
  <si>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</si>
  <si>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</si>
  <si>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</si>
  <si>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</si>
  <si>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</si>
  <si>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</si>
  <si>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</si>
  <si>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</si>
  <si>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</si>
  <si>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</si>
  <si>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</si>
  <si>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</si>
  <si>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</si>
  <si>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</si>
  <si>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</si>
  <si>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</si>
  <si>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</si>
  <si>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</si>
  <si>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</si>
  <si>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</si>
  <si>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</si>
  <si>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</si>
  <si>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</si>
  <si>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</si>
  <si>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</si>
  <si>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</si>
  <si>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</si>
  <si>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</si>
  <si>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</si>
  <si>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</si>
  <si>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</si>
  <si>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</si>
  <si>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</si>
  <si>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</si>
  <si>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</si>
  <si>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</si>
  <si>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</si>
  <si>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</si>
  <si>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</si>
  <si>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</si>
  <si>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</si>
  <si>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</si>
  <si>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</si>
  <si>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</si>
  <si>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</si>
  <si>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</si>
  <si>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</si>
  <si>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</si>
  <si>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</si>
  <si>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</si>
  <si>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</si>
  <si>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</si>
  <si>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</si>
  <si>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</si>
  <si>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</si>
  <si>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</si>
  <si>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</si>
  <si>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</si>
  <si>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</si>
  <si>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</si>
  <si>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</si>
  <si>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</si>
  <si>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</si>
  <si>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</si>
  <si>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</si>
  <si>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</si>
  <si>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</si>
  <si>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</si>
  <si>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</si>
  <si>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</si>
  <si>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</si>
  <si>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</si>
  <si>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</si>
  <si>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</si>
  <si>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</si>
  <si>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</si>
  <si>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</si>
  <si>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</si>
  <si>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</si>
  <si>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</si>
  <si>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</si>
  <si>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</si>
  <si>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</si>
  <si>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</si>
  <si>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</si>
  <si>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</si>
  <si>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</si>
  <si>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</si>
  <si>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</si>
  <si>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</si>
  <si>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</si>
  <si>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</si>
  <si>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</si>
  <si>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</si>
  <si>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</si>
  <si>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</si>
  <si>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</si>
  <si>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</si>
  <si>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</si>
  <si>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</si>
  <si>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</si>
  <si>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</si>
  <si>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</si>
  <si>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</si>
  <si>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</si>
  <si>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</si>
  <si>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</si>
  <si>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</si>
  <si>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</si>
  <si>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</si>
  <si>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</si>
  <si>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</si>
  <si>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</si>
  <si>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</si>
  <si>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</si>
  <si>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</si>
  <si>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</si>
  <si>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</si>
  <si>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</si>
  <si>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</si>
  <si>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</si>
  <si>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</si>
  <si>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</si>
  <si>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</si>
  <si>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</si>
  <si>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</si>
  <si>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</si>
  <si>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</si>
  <si>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</si>
  <si>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</si>
  <si>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</si>
  <si>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</si>
  <si>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</si>
  <si>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</si>
  <si>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</si>
  <si>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</si>
  <si>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</si>
  <si>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</si>
  <si>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</si>
  <si>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</si>
  <si>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</si>
  <si>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</si>
  <si>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</si>
  <si>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</si>
  <si>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19-06-2025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</si>
  <si>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</si>
  <si>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</si>
  <si>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</si>
  <si>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</si>
  <si>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</si>
  <si>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</si>
  <si>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</si>
  <si>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</si>
  <si>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</si>
  <si>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</si>
  <si>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</si>
  <si>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</si>
  <si>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</si>
  <si>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</si>
  <si>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</si>
  <si>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</si>
  <si>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</si>
  <si>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</si>
  <si>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</si>
  <si>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</si>
  <si>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</si>
  <si>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</si>
  <si>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</si>
  <si>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</si>
  <si>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</si>
  <si>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</si>
  <si>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</si>
  <si>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</si>
  <si>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</si>
  <si>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</si>
  <si>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</si>
  <si>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</si>
  <si>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</si>
  <si>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</si>
  <si>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</si>
  <si>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</si>
  <si>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</si>
  <si>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</si>
  <si>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</si>
  <si>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</si>
  <si>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</si>
  <si>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</si>
  <si>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</si>
  <si>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</si>
  <si>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</si>
  <si>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</si>
  <si>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</si>
  <si>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</si>
  <si>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</si>
  <si>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</si>
  <si>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</si>
  <si>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</si>
  <si>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</si>
  <si>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</si>
  <si>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</si>
  <si>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</si>
  <si>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</si>
  <si>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</si>
  <si>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</si>
  <si>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</si>
  <si>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</si>
  <si>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</si>
  <si>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</si>
  <si>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</si>
  <si>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</si>
  <si>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</si>
  <si>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</si>
  <si>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</si>
  <si>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</si>
  <si>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</si>
  <si>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</si>
  <si>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</si>
  <si>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</si>
  <si>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</si>
  <si>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</si>
  <si>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</si>
  <si>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</si>
  <si>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</si>
  <si>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</si>
  <si>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</si>
  <si>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</si>
  <si>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</si>
  <si>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</si>
  <si>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</si>
  <si>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</si>
  <si>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</si>
  <si>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</si>
  <si>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</si>
  <si>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</si>
  <si>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</si>
  <si>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</si>
  <si>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</si>
  <si>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</si>
  <si>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</si>
  <si>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</si>
  <si>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</si>
  <si>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</si>
  <si>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</si>
  <si>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</si>
  <si>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</si>
  <si>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</si>
  <si>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</si>
  <si>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</si>
  <si>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</si>
  <si>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</si>
  <si>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</si>
  <si>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</si>
  <si>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</si>
  <si>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</si>
  <si>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</si>
  <si>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</si>
  <si>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</si>
  <si>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</si>
  <si>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</si>
  <si>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</si>
  <si>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</si>
  <si>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</si>
  <si>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</si>
  <si>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</si>
  <si>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</si>
  <si>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</si>
  <si>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</si>
  <si>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</si>
  <si>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</si>
  <si>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</si>
  <si>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</si>
  <si>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</si>
  <si>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</si>
  <si>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</si>
  <si>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</si>
  <si>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</si>
  <si>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</si>
  <si>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</si>
  <si>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</si>
  <si>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</si>
  <si>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</si>
  <si>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</si>
  <si>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</si>
  <si>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</si>
  <si>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</si>
  <si>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</si>
  <si>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</si>
  <si>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</si>
  <si>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</si>
  <si>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</si>
  <si>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</si>
  <si>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</si>
  <si>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</si>
  <si>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</si>
  <si>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</si>
  <si>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</si>
  <si>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</si>
  <si>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</si>
  <si>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</si>
  <si>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</si>
  <si>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</si>
  <si>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</si>
  <si>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</si>
  <si>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</si>
  <si>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</si>
  <si>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</si>
  <si>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</si>
  <si>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</si>
  <si>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</si>
  <si>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</si>
  <si>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</si>
  <si>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</si>
  <si>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</si>
  <si>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</si>
  <si>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</si>
  <si>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</si>
  <si>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</si>
  <si>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</si>
  <si>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</si>
  <si>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</si>
  <si>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</si>
  <si>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</si>
  <si>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</si>
  <si>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</si>
  <si>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</si>
  <si>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</si>
  <si>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</si>
  <si>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</si>
  <si>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</si>
  <si>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</si>
  <si>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</si>
  <si>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</si>
  <si>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</si>
  <si>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</si>
  <si>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</si>
  <si>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</si>
  <si>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</si>
  <si>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</si>
  <si>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</si>
  <si>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</si>
  <si>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</si>
  <si>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</si>
  <si>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</si>
  <si>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</si>
  <si>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</si>
  <si>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</si>
  <si>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</si>
  <si>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</si>
  <si>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</si>
  <si>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</si>
  <si>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</si>
  <si>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</si>
  <si>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</si>
  <si>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</si>
  <si>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</si>
  <si>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</si>
  <si>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</si>
  <si>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</si>
  <si>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</si>
  <si>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</si>
  <si>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</si>
  <si>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</si>
  <si>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</si>
  <si>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</si>
  <si>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</si>
  <si>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</si>
  <si>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</si>
  <si>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</si>
  <si>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</si>
  <si>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</si>
  <si>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</si>
  <si>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</si>
  <si>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</si>
  <si>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</si>
  <si>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</si>
  <si>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</si>
  <si>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</si>
  <si>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</si>
  <si>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</si>
  <si>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</si>
  <si>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</si>
  <si>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</si>
  <si>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</si>
  <si>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</si>
  <si>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</si>
  <si>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</si>
  <si>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</si>
  <si>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</si>
  <si>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</si>
  <si>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</si>
  <si>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</si>
  <si>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</si>
  <si>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</si>
  <si>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</si>
  <si>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</si>
  <si>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</si>
  <si>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</si>
  <si>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</si>
  <si>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</si>
  <si>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</si>
  <si>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</si>
  <si>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</si>
  <si>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</si>
  <si>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</si>
  <si>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</si>
  <si>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</si>
  <si>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</si>
  <si>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</si>
  <si>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</si>
  <si>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</si>
  <si>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</si>
  <si>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</si>
  <si>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</si>
  <si>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</si>
  <si>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</si>
  <si>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</si>
  <si>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</si>
  <si>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</si>
  <si>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</si>
  <si>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</si>
  <si>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</si>
  <si>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</si>
  <si>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</si>
  <si>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</si>
  <si>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</si>
  <si>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</si>
  <si>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</si>
  <si>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</si>
  <si>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</si>
  <si>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</si>
  <si>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</si>
  <si>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</si>
  <si>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</si>
  <si>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</si>
  <si>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</si>
  <si>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</si>
  <si>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</si>
  <si>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</si>
  <si>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</si>
  <si>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</si>
  <si>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</si>
  <si>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</si>
  <si>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</si>
  <si>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</si>
  <si>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</si>
  <si>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</si>
  <si>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</si>
  <si>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</si>
  <si>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</si>
  <si>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31540438</t>
  </si>
  <si>
    <t>ООО "Тепло"</t>
  </si>
  <si>
    <t>2365030008</t>
  </si>
  <si>
    <t>19-11-2021 00:00:00</t>
  </si>
  <si>
    <t>18-04-2025 00:00:00</t>
  </si>
  <si>
    <t>31418850</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</si>
  <si>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</si>
  <si>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</si>
  <si>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</si>
  <si>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</si>
  <si>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</si>
  <si>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</si>
  <si>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</si>
  <si>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</si>
  <si>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</si>
  <si>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</si>
  <si>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</si>
  <si>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</si>
  <si>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</si>
  <si>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</si>
  <si>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</si>
  <si>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</si>
  <si>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</si>
  <si>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</si>
  <si>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</si>
  <si>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</si>
  <si>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</si>
  <si>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</si>
  <si>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</si>
  <si>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</si>
  <si>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</si>
  <si>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</si>
  <si>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</si>
  <si>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</si>
  <si>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</si>
  <si>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</si>
  <si>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</si>
  <si>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</si>
  <si>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</si>
  <si>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</si>
  <si>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</si>
  <si>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</si>
  <si>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</si>
  <si>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</si>
  <si>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</si>
  <si>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</si>
  <si>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</si>
  <si>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</si>
  <si>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</si>
  <si>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</si>
  <si>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</si>
  <si>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</si>
  <si>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</si>
  <si>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</si>
  <si>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</si>
  <si>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</si>
  <si>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</si>
  <si>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</si>
  <si>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</si>
  <si>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</si>
  <si>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</si>
  <si>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</si>
  <si>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</si>
  <si>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</si>
  <si>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</si>
  <si>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</si>
  <si>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</si>
  <si>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</si>
  <si>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</si>
  <si>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</si>
  <si>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</si>
  <si>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</si>
  <si>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</si>
  <si>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</si>
  <si>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</si>
  <si>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</si>
  <si>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</si>
  <si>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</si>
  <si>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</si>
  <si>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</si>
  <si>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</si>
  <si>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</si>
  <si>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</si>
  <si>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</si>
  <si>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</si>
  <si>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</si>
  <si>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</si>
  <si>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</si>
  <si>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</si>
  <si>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</si>
  <si>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</si>
  <si>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</si>
  <si>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</si>
  <si>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</si>
  <si>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</si>
  <si>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</si>
  <si>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</si>
  <si>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</si>
  <si>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</si>
  <si>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</si>
  <si>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</si>
  <si>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</si>
  <si>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</si>
  <si>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</si>
  <si>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</si>
  <si>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</si>
  <si>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</si>
  <si>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</si>
  <si>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</si>
  <si>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</si>
  <si>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</si>
  <si>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</si>
  <si>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</si>
  <si>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</si>
  <si>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</si>
  <si>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</si>
  <si>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</si>
  <si>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</si>
  <si>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</si>
  <si>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</si>
  <si>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</si>
  <si>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</si>
  <si>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</si>
  <si>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</si>
  <si>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</si>
  <si>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</si>
  <si>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</si>
  <si>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</si>
  <si>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</si>
  <si>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</si>
  <si>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</si>
  <si>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</si>
  <si>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</si>
  <si>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</si>
  <si>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</si>
  <si>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</si>
  <si>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</si>
  <si>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</si>
  <si>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</si>
  <si>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</si>
  <si>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</si>
  <si>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</si>
  <si>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</si>
  <si>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</si>
  <si>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</si>
  <si>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</si>
  <si>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</si>
  <si>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</si>
  <si>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</si>
  <si>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</si>
  <si>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</si>
  <si>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</si>
  <si>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</si>
  <si>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</si>
  <si>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</si>
  <si>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</si>
  <si>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</si>
  <si>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</si>
  <si>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</si>
  <si>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</si>
  <si>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</si>
  <si>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</si>
  <si>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</si>
  <si>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</si>
  <si>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</si>
  <si>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</si>
  <si>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</si>
  <si>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</si>
  <si>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</si>
  <si>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</si>
  <si>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</si>
  <si>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</si>
  <si>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</si>
  <si>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</si>
  <si>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</si>
  <si>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</si>
  <si>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</si>
  <si>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</si>
  <si>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</si>
  <si>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</si>
  <si>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</si>
  <si>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</si>
  <si>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</si>
  <si>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</si>
  <si>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</si>
  <si>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</si>
  <si>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</si>
  <si>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</si>
  <si>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</si>
  <si>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</si>
  <si>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</si>
  <si>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</si>
  <si>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</si>
  <si>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</si>
  <si>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</si>
  <si>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</si>
  <si>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</si>
  <si>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</si>
  <si>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</si>
  <si>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</si>
  <si>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</si>
  <si>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</si>
  <si>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</si>
  <si>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</si>
  <si>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</si>
  <si>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</si>
  <si>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</si>
  <si>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</si>
  <si>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</si>
  <si>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</si>
  <si>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</si>
  <si>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</si>
  <si>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</si>
  <si>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</si>
  <si>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</si>
  <si>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</si>
  <si>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</si>
  <si>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</si>
  <si>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</si>
  <si>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</si>
  <si>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</si>
  <si>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</si>
  <si>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</si>
  <si>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</si>
  <si>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</si>
  <si>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</si>
  <si>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</si>
  <si>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</si>
  <si>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</si>
  <si>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</si>
  <si>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</si>
  <si>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</si>
  <si>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</si>
  <si>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</si>
  <si>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</si>
  <si>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</si>
  <si>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</si>
  <si>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</si>
  <si>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</si>
  <si>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</si>
  <si>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</si>
  <si>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</si>
  <si>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</si>
  <si>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</si>
  <si>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</si>
  <si>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</si>
  <si>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</si>
  <si>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</si>
  <si>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</si>
  <si>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</si>
  <si>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</si>
  <si>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</si>
  <si>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</si>
  <si>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</si>
  <si>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</si>
  <si>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</si>
  <si>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</si>
  <si>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</si>
  <si>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</si>
  <si>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</si>
  <si>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</si>
  <si>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</si>
  <si>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</si>
  <si>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</si>
  <si>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</si>
  <si>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</si>
  <si>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</si>
  <si>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</si>
  <si>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</si>
  <si>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</si>
  <si>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</si>
  <si>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</si>
  <si>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</si>
  <si>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</si>
  <si>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</si>
  <si>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</si>
  <si>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</si>
  <si>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</si>
  <si>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</si>
  <si>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</si>
  <si>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</si>
  <si>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</si>
  <si>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</si>
  <si>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</si>
  <si>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</si>
  <si>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</si>
  <si>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</si>
  <si>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</si>
  <si>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</si>
  <si>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</si>
  <si>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</si>
  <si>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</si>
  <si>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</si>
  <si>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</si>
  <si>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</si>
  <si>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</si>
  <si>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</si>
  <si>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</si>
  <si>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</si>
  <si>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</si>
  <si>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</si>
  <si>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</si>
  <si>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</si>
  <si>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</si>
  <si>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</si>
  <si>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</si>
  <si>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</si>
  <si>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</si>
  <si>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</si>
  <si>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</si>
  <si>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</si>
  <si>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</si>
  <si>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</si>
  <si>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</si>
  <si>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</si>
  <si>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</si>
  <si>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</si>
  <si>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</si>
  <si>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</si>
  <si>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</si>
  <si>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</si>
  <si>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</si>
  <si>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</si>
  <si>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</si>
  <si>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</si>
  <si>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</si>
  <si>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</si>
  <si>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</si>
  <si>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</si>
  <si>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</si>
  <si>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</si>
  <si>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</si>
  <si>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</si>
  <si>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</si>
  <si>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</si>
  <si>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</si>
  <si>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</si>
  <si>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</si>
  <si>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</si>
  <si>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</si>
  <si>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</si>
  <si>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</si>
  <si>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</si>
  <si>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</si>
  <si>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</si>
  <si>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</si>
  <si>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</si>
  <si>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</si>
  <si>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</si>
  <si>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</si>
  <si>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</si>
  <si>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</si>
  <si>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</si>
  <si>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</si>
  <si>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</si>
  <si>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</si>
  <si>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</si>
  <si>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</si>
  <si>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</si>
  <si>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</si>
  <si>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</si>
  <si>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</si>
  <si>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</si>
  <si>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</si>
  <si>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</si>
  <si>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</si>
  <si>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</si>
  <si>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</si>
  <si>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</si>
  <si>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</si>
  <si>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</si>
  <si>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</si>
  <si>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</si>
  <si>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</si>
  <si>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</si>
  <si>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</si>
  <si>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</si>
  <si>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</si>
  <si>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</si>
  <si>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</si>
  <si>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</si>
  <si>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</si>
  <si>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</si>
  <si>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</si>
  <si>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</si>
  <si>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</si>
  <si>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</si>
  <si>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</si>
  <si>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</si>
  <si>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</si>
  <si>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</si>
  <si>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</si>
  <si>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</si>
  <si>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</si>
  <si>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</si>
  <si>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</si>
  <si>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</si>
  <si>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</si>
  <si>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</si>
  <si>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</si>
  <si>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</si>
  <si>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</si>
  <si>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</si>
  <si>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</si>
  <si>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</si>
  <si>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</si>
  <si>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</si>
  <si>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</si>
  <si>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</si>
  <si>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</si>
  <si>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</si>
  <si>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</si>
  <si>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</si>
  <si>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</si>
  <si>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</si>
  <si>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</si>
  <si>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</si>
  <si>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</si>
  <si>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</si>
  <si>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</si>
  <si>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</si>
  <si>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</si>
  <si>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</si>
  <si>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</si>
  <si>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</si>
  <si>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</si>
  <si>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</si>
  <si>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</si>
  <si>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</si>
  <si>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</si>
  <si>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</si>
  <si>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</si>
  <si>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</si>
  <si>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</si>
  <si>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</si>
  <si>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</si>
  <si>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</si>
  <si>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</si>
  <si>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</si>
  <si>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</si>
  <si>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</si>
  <si>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</si>
  <si>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</si>
  <si>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</si>
  <si>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</si>
  <si>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</si>
  <si>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</si>
  <si>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</si>
  <si>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</si>
  <si>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</si>
  <si>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</si>
  <si>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</si>
  <si>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</si>
  <si>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</si>
  <si>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</si>
  <si>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</si>
  <si>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</si>
  <si>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</si>
  <si>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</si>
  <si>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</si>
  <si>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</si>
  <si>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</si>
  <si>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</si>
  <si>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</si>
  <si>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</si>
  <si>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</si>
  <si>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</si>
  <si>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</si>
  <si>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</si>
  <si>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</si>
  <si>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</si>
  <si>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</si>
  <si>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</si>
  <si>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</si>
  <si>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</si>
  <si>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</si>
  <si>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</si>
  <si>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</si>
  <si>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</si>
  <si>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</si>
  <si>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</si>
  <si>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</si>
  <si>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</si>
  <si>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</si>
  <si>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</si>
  <si>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</si>
  <si>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</si>
  <si>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</si>
  <si>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</si>
  <si>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</si>
  <si>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</si>
  <si>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</si>
  <si>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</si>
  <si>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</si>
  <si>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</si>
  <si>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</si>
  <si>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</si>
  <si>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</si>
  <si>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</si>
  <si>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</si>
  <si>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</si>
  <si>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</si>
  <si>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</si>
  <si>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</si>
  <si>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</si>
  <si>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</si>
  <si>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</si>
  <si>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</si>
  <si>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</si>
  <si>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</si>
  <si>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</si>
  <si>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</si>
  <si>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</si>
  <si>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</si>
  <si>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</si>
  <si>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</si>
  <si>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</si>
  <si>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</si>
  <si>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</si>
  <si>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</si>
  <si>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</si>
  <si>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</si>
  <si>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</si>
  <si>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</si>
  <si>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</si>
  <si>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</si>
  <si>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</si>
  <si>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</si>
  <si>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</si>
  <si>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</si>
  <si>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</si>
  <si>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</si>
  <si>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</si>
  <si>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</si>
  <si>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</si>
  <si>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</si>
  <si>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</si>
  <si>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</si>
  <si>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</si>
  <si>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</si>
  <si>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</si>
  <si>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</si>
  <si>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</si>
  <si>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</si>
  <si>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</si>
  <si>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</si>
  <si>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</si>
  <si>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</si>
  <si>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</si>
  <si>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</si>
  <si>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</si>
  <si>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</si>
  <si>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</si>
  <si>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</si>
  <si>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</si>
  <si>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</si>
  <si>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</si>
  <si>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</si>
  <si>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</si>
  <si>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</si>
  <si>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</si>
  <si>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</si>
  <si>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</si>
  <si>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</si>
  <si>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</si>
  <si>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</si>
  <si>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</si>
  <si>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</si>
  <si>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</si>
  <si>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</si>
  <si>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</si>
  <si>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</si>
  <si>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</si>
  <si>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</si>
  <si>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</si>
  <si>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</si>
  <si>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</si>
  <si>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</si>
  <si>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</si>
  <si>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</si>
  <si>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</si>
  <si>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</si>
  <si>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</si>
  <si>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</si>
  <si>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</si>
  <si>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</si>
  <si>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</si>
  <si>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</si>
  <si>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</si>
  <si>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</si>
  <si>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</si>
  <si>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</si>
  <si>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</si>
  <si>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</si>
  <si>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</si>
  <si>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</si>
  <si>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</si>
  <si>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</si>
  <si>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</si>
  <si>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</si>
  <si>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</si>
  <si>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</si>
  <si>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</si>
  <si>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</si>
  <si>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</si>
  <si>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</si>
  <si>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</si>
  <si>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</si>
  <si>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</si>
  <si>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</si>
  <si>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</si>
  <si>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</si>
  <si>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</si>
  <si>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</si>
  <si>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</si>
  <si>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</si>
  <si>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</si>
  <si>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</si>
  <si>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</si>
  <si>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</si>
  <si>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</si>
  <si>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</si>
  <si>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</si>
  <si>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</si>
  <si>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</si>
  <si>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</si>
  <si>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</si>
  <si>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</si>
  <si>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</si>
  <si>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</si>
  <si>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</si>
  <si>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</si>
  <si>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</si>
  <si>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</si>
  <si>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</si>
  <si>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</si>
  <si>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</si>
  <si>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</si>
  <si>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</si>
  <si>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</si>
  <si>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</si>
  <si>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</si>
  <si>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</si>
  <si>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</si>
  <si>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</si>
  <si>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</si>
  <si>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</si>
  <si>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</si>
  <si>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</si>
  <si>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</si>
  <si>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</si>
  <si>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</si>
  <si>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</si>
  <si>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</si>
  <si>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</si>
  <si>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</si>
  <si>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</si>
  <si>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</si>
  <si>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</si>
  <si>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</si>
  <si>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</si>
  <si>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</si>
  <si>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</si>
  <si>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</si>
  <si>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</si>
  <si>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</si>
  <si>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</si>
  <si>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</si>
  <si>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</si>
  <si>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</si>
  <si>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</si>
  <si>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</si>
  <si>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</si>
  <si>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</si>
  <si>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</si>
  <si>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</si>
  <si>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</si>
  <si>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</si>
  <si>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</si>
  <si>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</si>
  <si>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</si>
  <si>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</si>
  <si>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</si>
  <si>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</si>
  <si>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</si>
  <si>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</si>
  <si>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</si>
  <si>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</si>
  <si>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</si>
  <si>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</si>
  <si>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</si>
  <si>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</si>
  <si>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</si>
  <si>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</si>
  <si>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</si>
  <si>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</si>
  <si>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</si>
  <si>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</si>
  <si>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</si>
  <si>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</si>
  <si>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</si>
  <si>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</si>
  <si>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</si>
  <si>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</si>
  <si>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</si>
  <si>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</si>
  <si>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</si>
  <si>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</si>
  <si>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</si>
  <si>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</si>
  <si>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</si>
  <si>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</si>
  <si>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</si>
  <si>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</si>
  <si>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</si>
  <si>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</si>
  <si>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</si>
  <si>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</si>
  <si>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</si>
  <si>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</si>
  <si>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</si>
  <si>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</si>
  <si>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</si>
  <si>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</si>
  <si>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</si>
  <si>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</si>
  <si>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</si>
  <si>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</si>
  <si>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</si>
  <si>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</si>
  <si>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</si>
  <si>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</si>
  <si>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</si>
  <si>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</si>
  <si>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</si>
  <si>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</si>
  <si>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</si>
  <si>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</si>
  <si>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</si>
  <si>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</si>
  <si>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</si>
  <si>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</si>
  <si>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</si>
  <si>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</si>
  <si>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</si>
  <si>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</si>
  <si>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</si>
  <si>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</si>
  <si>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</si>
  <si>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</si>
  <si>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</si>
  <si>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</si>
  <si>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</si>
  <si>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</si>
  <si>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</si>
  <si>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</si>
  <si>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</si>
  <si>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</si>
  <si>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</si>
  <si>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</si>
  <si>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</si>
  <si>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</si>
  <si>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</si>
  <si>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</si>
  <si>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</si>
  <si>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</si>
  <si>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</si>
  <si>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</si>
  <si>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</si>
  <si>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</si>
  <si>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</si>
  <si>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</si>
  <si>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</si>
  <si>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</si>
  <si>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</si>
  <si>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</si>
  <si>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</si>
  <si>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</si>
  <si>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</si>
  <si>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</si>
  <si>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</si>
  <si>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</si>
  <si>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</si>
  <si>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</si>
  <si>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</si>
  <si>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</si>
  <si>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</si>
  <si>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</si>
  <si>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</si>
  <si>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</si>
  <si>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</si>
  <si>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</si>
  <si>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</si>
  <si>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</si>
  <si>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</si>
  <si>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</si>
  <si>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</si>
  <si>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</si>
  <si>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</si>
  <si>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</si>
  <si>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</si>
  <si>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</si>
  <si>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</si>
  <si>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</si>
  <si>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</si>
  <si>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</si>
  <si>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</si>
  <si>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</si>
  <si>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</si>
  <si>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</si>
  <si>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</si>
  <si>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</si>
  <si>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</si>
  <si>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26468685</t>
  </si>
  <si>
    <t>МУП "ЖКХ "Холмское"</t>
  </si>
  <si>
    <t>2323000330</t>
  </si>
  <si>
    <t>30-12-2002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</si>
  <si>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</si>
  <si>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</si>
  <si>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</si>
  <si>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</si>
  <si>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</si>
  <si>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</si>
  <si>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</si>
  <si>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</si>
  <si>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</si>
  <si>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</si>
  <si>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</si>
  <si>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</si>
  <si>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</si>
  <si>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</si>
  <si>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</si>
  <si>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</si>
  <si>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</si>
  <si>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</si>
  <si>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</si>
  <si>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</si>
  <si>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</si>
  <si>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</si>
  <si>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</si>
  <si>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</si>
  <si>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</si>
  <si>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</si>
  <si>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</si>
  <si>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</si>
  <si>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</si>
  <si>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</si>
  <si>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</si>
  <si>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</si>
  <si>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</si>
  <si>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</si>
  <si>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</si>
  <si>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</si>
  <si>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</si>
  <si>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</si>
  <si>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</si>
  <si>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</si>
  <si>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</si>
  <si>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</si>
  <si>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</si>
  <si>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</si>
  <si>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</si>
  <si>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</si>
  <si>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</si>
  <si>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</si>
  <si>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</si>
  <si>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</si>
  <si>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</si>
  <si>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</si>
  <si>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</si>
  <si>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</si>
  <si>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</si>
  <si>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</si>
  <si>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</si>
  <si>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</si>
  <si>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</si>
  <si>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</si>
  <si>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</si>
  <si>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</si>
  <si>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</si>
  <si>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</si>
  <si>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</si>
  <si>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</si>
  <si>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</si>
  <si>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</si>
  <si>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</si>
  <si>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</si>
  <si>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</si>
  <si>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</si>
  <si>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</si>
  <si>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</si>
  <si>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</si>
  <si>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</si>
  <si>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</si>
  <si>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</si>
  <si>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</si>
  <si>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</si>
  <si>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</si>
  <si>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</si>
  <si>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</si>
  <si>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</si>
  <si>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</si>
  <si>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</si>
  <si>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</si>
  <si>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</si>
  <si>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</si>
  <si>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</si>
  <si>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</si>
  <si>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</si>
  <si>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</si>
  <si>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</si>
  <si>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</si>
  <si>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</si>
  <si>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</si>
  <si>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</si>
  <si>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</si>
  <si>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</si>
  <si>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</si>
  <si>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</si>
  <si>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</si>
  <si>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</si>
  <si>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</si>
  <si>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</si>
  <si>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</si>
  <si>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</si>
  <si>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</si>
  <si>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</si>
  <si>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</si>
  <si>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</si>
  <si>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</si>
  <si>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</si>
  <si>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</si>
  <si>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</si>
  <si>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</si>
  <si>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</si>
  <si>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</si>
  <si>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</si>
  <si>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</si>
  <si>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</si>
  <si>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</si>
  <si>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</si>
  <si>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</si>
  <si>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</si>
  <si>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</si>
  <si>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</si>
  <si>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</si>
  <si>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</si>
  <si>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</si>
  <si>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</si>
  <si>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</si>
  <si>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</si>
  <si>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</si>
  <si>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</si>
  <si>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</si>
  <si>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</si>
  <si>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</si>
  <si>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</si>
  <si>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</si>
  <si>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</si>
  <si>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</si>
  <si>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</si>
  <si>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</si>
  <si>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</si>
  <si>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</si>
  <si>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</si>
  <si>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</si>
  <si>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</si>
  <si>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</si>
  <si>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</si>
  <si>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</si>
  <si>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</si>
  <si>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</si>
  <si>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</si>
  <si>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</si>
  <si>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</si>
  <si>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</si>
  <si>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</si>
  <si>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</si>
  <si>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</si>
  <si>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</si>
  <si>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</si>
  <si>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</si>
  <si>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</si>
  <si>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</si>
  <si>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</si>
  <si>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</si>
  <si>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</si>
  <si>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</si>
  <si>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</si>
  <si>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</si>
  <si>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</si>
  <si>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</si>
  <si>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</si>
  <si>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</si>
  <si>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</si>
  <si>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</si>
  <si>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</si>
  <si>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</si>
  <si>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</si>
  <si>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</si>
  <si>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</si>
  <si>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</si>
  <si>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</si>
  <si>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</si>
  <si>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</si>
  <si>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</si>
  <si>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</si>
  <si>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</si>
  <si>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</si>
  <si>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</si>
  <si>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</si>
  <si>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</si>
  <si>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</si>
  <si>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</si>
  <si>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</si>
  <si>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</si>
  <si>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</si>
  <si>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</si>
  <si>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</si>
  <si>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</si>
  <si>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</si>
  <si>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</si>
  <si>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</si>
  <si>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</si>
  <si>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</si>
  <si>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</si>
  <si>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</si>
  <si>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</si>
  <si>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</si>
  <si>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</si>
  <si>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</si>
  <si>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</si>
  <si>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</si>
  <si>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</si>
  <si>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</si>
  <si>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</si>
  <si>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</si>
  <si>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</si>
  <si>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</si>
  <si>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</si>
  <si>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</si>
  <si>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</si>
  <si>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</si>
  <si>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</si>
  <si>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</si>
  <si>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</si>
  <si>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</si>
  <si>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</si>
  <si>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</si>
  <si>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</si>
  <si>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</si>
  <si>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</si>
  <si>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</si>
  <si>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</si>
  <si>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</si>
  <si>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</si>
  <si>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</si>
  <si>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</si>
  <si>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</si>
  <si>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</si>
  <si>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</si>
  <si>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</si>
  <si>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</si>
  <si>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</si>
  <si>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</si>
  <si>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</si>
  <si>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</si>
  <si>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</si>
  <si>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</si>
  <si>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</si>
  <si>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</si>
  <si>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</si>
  <si>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</si>
  <si>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</si>
  <si>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</si>
  <si>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</si>
  <si>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</si>
  <si>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</si>
  <si>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</si>
  <si>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</si>
  <si>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</si>
  <si>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</si>
  <si>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</si>
  <si>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</si>
  <si>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</si>
  <si>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</si>
  <si>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</si>
  <si>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</si>
  <si>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</si>
  <si>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</si>
  <si>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</si>
  <si>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</si>
  <si>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</si>
  <si>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</si>
  <si>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</si>
  <si>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</si>
  <si>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</si>
  <si>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</si>
  <si>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</si>
  <si>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</si>
  <si>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</si>
  <si>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</si>
  <si>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</si>
  <si>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</si>
  <si>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</si>
  <si>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</si>
  <si>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</si>
  <si>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</si>
  <si>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</si>
  <si>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</si>
  <si>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</si>
  <si>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</si>
  <si>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</si>
  <si>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</si>
  <si>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</si>
  <si>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</si>
  <si>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</si>
  <si>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</si>
  <si>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</si>
  <si>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31856539</t>
  </si>
  <si>
    <t>ООО "3я ВКК"</t>
  </si>
  <si>
    <t>7730264418</t>
  </si>
  <si>
    <t>773001001</t>
  </si>
  <si>
    <t>29-04-2021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</si>
  <si>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</si>
  <si>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</si>
  <si>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</si>
  <si>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</si>
  <si>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</si>
  <si>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</si>
  <si>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</si>
  <si>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</si>
  <si>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</si>
  <si>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</si>
  <si>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</si>
  <si>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</si>
  <si>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</si>
  <si>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</si>
  <si>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</si>
  <si>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</si>
  <si>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</si>
  <si>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</si>
  <si>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</si>
  <si>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</si>
  <si>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</si>
  <si>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</si>
  <si>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</si>
  <si>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</si>
  <si>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</si>
  <si>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</si>
  <si>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</si>
  <si>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</si>
  <si>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</si>
  <si>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</si>
  <si>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</si>
  <si>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</si>
  <si>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</si>
  <si>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</si>
  <si>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</si>
  <si>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</si>
  <si>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</si>
  <si>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</si>
  <si>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</si>
  <si>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</si>
  <si>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</si>
  <si>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</si>
  <si>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</si>
  <si>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</si>
  <si>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</si>
  <si>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</si>
  <si>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</si>
  <si>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</si>
  <si>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</si>
  <si>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</si>
  <si>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</si>
  <si>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</si>
  <si>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</si>
  <si>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</si>
  <si>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</si>
  <si>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</si>
  <si>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</si>
  <si>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</si>
  <si>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</si>
  <si>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</si>
  <si>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</si>
  <si>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</si>
  <si>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</si>
  <si>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</si>
  <si>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</si>
  <si>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</si>
  <si>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</si>
  <si>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</si>
  <si>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</si>
  <si>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</si>
  <si>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</si>
  <si>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</si>
  <si>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</si>
  <si>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</si>
  <si>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</si>
  <si>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</si>
  <si>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</si>
  <si>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</si>
  <si>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</si>
  <si>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</si>
  <si>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</si>
  <si>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</si>
  <si>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</si>
  <si>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</si>
  <si>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</si>
  <si>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</si>
  <si>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</si>
  <si>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</si>
  <si>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</si>
  <si>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</si>
  <si>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</si>
  <si>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</si>
  <si>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</si>
  <si>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</si>
  <si>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</si>
  <si>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</si>
  <si>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</si>
  <si>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</si>
  <si>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</si>
  <si>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</si>
  <si>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</si>
  <si>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</si>
  <si>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</si>
  <si>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</si>
  <si>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</si>
  <si>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</si>
  <si>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</si>
  <si>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</si>
  <si>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</si>
  <si>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</si>
  <si>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</si>
  <si>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</si>
  <si>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</si>
  <si>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</si>
  <si>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</si>
  <si>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</si>
  <si>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</si>
  <si>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</si>
  <si>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</si>
  <si>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</si>
  <si>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</si>
  <si>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</si>
  <si>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</si>
  <si>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</si>
  <si>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</si>
  <si>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</si>
  <si>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</si>
  <si>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</si>
  <si>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</si>
  <si>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</si>
  <si>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</si>
  <si>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</si>
  <si>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</si>
  <si>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</si>
  <si>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</si>
  <si>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</si>
  <si>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</si>
  <si>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</si>
  <si>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</si>
  <si>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</si>
  <si>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</si>
  <si>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</si>
  <si>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</si>
  <si>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</si>
  <si>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</si>
  <si>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</si>
  <si>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</si>
  <si>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</si>
  <si>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</si>
  <si>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</si>
  <si>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</si>
  <si>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</si>
  <si>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</si>
  <si>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</si>
  <si>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</si>
  <si>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</si>
  <si>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</si>
  <si>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</si>
  <si>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</si>
  <si>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</si>
  <si>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</si>
  <si>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</si>
  <si>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</si>
  <si>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</si>
  <si>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</si>
  <si>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</si>
  <si>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</si>
  <si>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</si>
  <si>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</si>
  <si>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</si>
  <si>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</si>
  <si>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</si>
  <si>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</si>
  <si>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</si>
  <si>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</si>
  <si>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</si>
  <si>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</si>
  <si>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</si>
  <si>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</si>
  <si>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</si>
  <si>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</si>
  <si>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</si>
  <si>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</si>
  <si>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</si>
  <si>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</si>
  <si>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</si>
  <si>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</si>
  <si>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</si>
  <si>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</si>
  <si>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</si>
  <si>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</si>
  <si>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</si>
  <si>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</si>
  <si>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</si>
  <si>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</si>
  <si>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</si>
  <si>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</si>
  <si>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</si>
  <si>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</si>
  <si>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</si>
  <si>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</si>
  <si>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</si>
  <si>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</si>
  <si>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</si>
  <si>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</si>
  <si>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</si>
  <si>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</si>
  <si>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</si>
  <si>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</si>
  <si>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</si>
  <si>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</si>
  <si>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</si>
  <si>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</si>
  <si>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</si>
  <si>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</si>
  <si>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</si>
  <si>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</si>
  <si>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</si>
  <si>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</si>
  <si>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</si>
  <si>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</si>
  <si>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</si>
  <si>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</si>
  <si>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</si>
  <si>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</si>
  <si>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</si>
  <si>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</si>
  <si>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</si>
  <si>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</si>
  <si>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</si>
  <si>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</si>
  <si>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</si>
  <si>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</si>
  <si>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</si>
  <si>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</si>
  <si>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</si>
  <si>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</si>
  <si>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</si>
  <si>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</si>
  <si>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</si>
  <si>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</si>
  <si>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</si>
  <si>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</si>
  <si>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</si>
  <si>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</si>
  <si>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</si>
  <si>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</si>
  <si>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</si>
  <si>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</si>
  <si>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</si>
  <si>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</si>
  <si>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</si>
  <si>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</si>
  <si>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</si>
  <si>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</si>
  <si>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</si>
  <si>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</si>
  <si>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</si>
  <si>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</si>
  <si>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</si>
  <si>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</si>
  <si>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</si>
  <si>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</si>
  <si>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</si>
  <si>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</si>
  <si>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</si>
  <si>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</si>
  <si>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</si>
  <si>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</si>
  <si>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</si>
  <si>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</si>
  <si>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</si>
  <si>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</si>
  <si>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</si>
  <si>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</si>
  <si>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</si>
  <si>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</si>
  <si>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</si>
  <si>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</si>
  <si>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</si>
  <si>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</si>
  <si>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</si>
  <si>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</si>
  <si>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</si>
  <si>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</si>
  <si>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</si>
  <si>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</si>
  <si>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</si>
  <si>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</si>
  <si>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</si>
  <si>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</si>
  <si>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</si>
  <si>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</si>
  <si>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</si>
  <si>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</si>
  <si>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</si>
  <si>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</si>
  <si>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</si>
  <si>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</si>
  <si>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</si>
  <si>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</si>
  <si>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</si>
  <si>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</si>
  <si>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</si>
  <si>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</si>
  <si>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</si>
  <si>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</si>
  <si>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</si>
  <si>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</si>
  <si>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</si>
  <si>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</si>
  <si>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</si>
  <si>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</si>
  <si>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</si>
  <si>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</si>
  <si>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</si>
  <si>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</si>
  <si>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</si>
  <si>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</si>
  <si>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</si>
  <si>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</si>
  <si>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</si>
  <si>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</si>
  <si>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</si>
  <si>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</si>
  <si>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</si>
  <si>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</si>
  <si>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</si>
  <si>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</si>
  <si>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</si>
  <si>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</si>
  <si>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</si>
  <si>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</si>
  <si>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</si>
  <si>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</si>
  <si>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</si>
  <si>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</si>
  <si>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</si>
  <si>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</si>
  <si>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</si>
  <si>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</si>
  <si>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</si>
  <si>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</si>
  <si>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</si>
  <si>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</si>
  <si>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</si>
  <si>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</si>
  <si>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</si>
  <si>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</si>
  <si>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</si>
  <si>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</si>
  <si>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</si>
  <si>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</si>
  <si>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</si>
  <si>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</si>
  <si>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</si>
  <si>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</si>
  <si>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</si>
  <si>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</si>
  <si>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</si>
  <si>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</si>
  <si>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</si>
  <si>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</si>
  <si>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</si>
  <si>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</si>
  <si>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</si>
  <si>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</si>
  <si>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</si>
  <si>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</si>
  <si>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</si>
  <si>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</si>
  <si>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</si>
  <si>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</si>
  <si>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</si>
  <si>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</si>
  <si>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</si>
  <si>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</si>
  <si>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</si>
  <si>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</si>
  <si>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</si>
  <si>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</si>
  <si>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</si>
  <si>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</si>
  <si>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</si>
  <si>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</si>
  <si>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</si>
  <si>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</si>
  <si>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</si>
  <si>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</si>
  <si>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</si>
  <si>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</si>
  <si>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</si>
  <si>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</si>
  <si>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</si>
  <si>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</si>
  <si>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</si>
  <si>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</si>
  <si>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</si>
  <si>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</si>
  <si>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</si>
  <si>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</si>
  <si>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</si>
  <si>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</si>
  <si>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</si>
  <si>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</si>
  <si>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</si>
  <si>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</si>
  <si>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</si>
  <si>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</si>
  <si>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</si>
  <si>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</si>
  <si>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</si>
  <si>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</si>
  <si>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</si>
  <si>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</si>
  <si>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</si>
  <si>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</si>
  <si>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</si>
  <si>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</si>
  <si>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</si>
  <si>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</si>
  <si>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</si>
  <si>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</si>
  <si>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</si>
  <si>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</si>
  <si>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</si>
  <si>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</si>
  <si>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</si>
  <si>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</si>
  <si>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</si>
  <si>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</si>
  <si>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</si>
  <si>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</si>
  <si>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</si>
  <si>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</si>
  <si>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</si>
  <si>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</si>
  <si>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</si>
  <si>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</si>
  <si>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</si>
  <si>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</si>
  <si>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</si>
  <si>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</si>
  <si>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</si>
  <si>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</si>
  <si>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</si>
  <si>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</si>
  <si>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</si>
  <si>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</si>
  <si>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</si>
  <si>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</si>
  <si>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</si>
  <si>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</si>
  <si>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</si>
  <si>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</si>
  <si>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</si>
  <si>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</si>
  <si>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</si>
  <si>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</si>
  <si>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</si>
  <si>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</si>
  <si>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</si>
  <si>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</si>
  <si>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</si>
  <si>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</si>
  <si>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</si>
  <si>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</si>
  <si>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</si>
  <si>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</si>
  <si>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</si>
  <si>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</si>
  <si>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</si>
  <si>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</si>
  <si>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</si>
  <si>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</si>
  <si>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</si>
  <si>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</si>
  <si>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</si>
  <si>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</si>
  <si>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</si>
  <si>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</si>
  <si>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</si>
  <si>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</si>
  <si>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</si>
  <si>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</si>
  <si>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</si>
  <si>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</si>
  <si>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</si>
  <si>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</si>
  <si>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</si>
  <si>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</si>
  <si>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</si>
  <si>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</si>
  <si>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</si>
  <si>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</si>
  <si>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</si>
  <si>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</si>
  <si>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</si>
  <si>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</si>
  <si>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</si>
  <si>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</si>
  <si>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</si>
  <si>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</si>
  <si>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</si>
  <si>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</si>
  <si>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</si>
  <si>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</si>
  <si>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</si>
  <si>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</si>
  <si>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</si>
  <si>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</si>
  <si>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</si>
  <si>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</si>
  <si>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</si>
  <si>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</si>
  <si>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</si>
  <si>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</si>
  <si>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</si>
  <si>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</si>
  <si>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</si>
  <si>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</si>
  <si>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</si>
  <si>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</si>
  <si>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</si>
  <si>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</si>
  <si>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</si>
  <si>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</si>
  <si>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</si>
  <si>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</si>
  <si>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</si>
  <si>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</si>
  <si>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</si>
  <si>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</si>
  <si>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</si>
  <si>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</si>
  <si>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</si>
  <si>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</si>
  <si>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</si>
  <si>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</si>
  <si>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</si>
  <si>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</si>
  <si>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</si>
  <si>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</si>
  <si>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</si>
  <si>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</si>
  <si>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</si>
  <si>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</si>
  <si>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</si>
  <si>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</si>
  <si>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</si>
  <si>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</si>
  <si>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</si>
  <si>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</si>
  <si>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</si>
  <si>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</si>
  <si>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</si>
  <si>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</si>
  <si>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</si>
  <si>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</si>
  <si>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</si>
  <si>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</si>
  <si>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</si>
  <si>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</si>
  <si>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</si>
  <si>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</si>
  <si>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</si>
  <si>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</si>
  <si>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</si>
  <si>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</si>
  <si>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</si>
  <si>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</si>
  <si>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</si>
  <si>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</si>
  <si>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</si>
  <si>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</si>
  <si>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</si>
  <si>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</si>
  <si>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</si>
  <si>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</si>
  <si>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</si>
  <si>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</si>
  <si>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</si>
  <si>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</si>
  <si>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</si>
  <si>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</si>
  <si>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</si>
  <si>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</si>
  <si>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</si>
  <si>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</si>
  <si>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</si>
  <si>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</si>
  <si>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</si>
  <si>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</si>
  <si>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</si>
  <si>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</si>
  <si>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</si>
  <si>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</si>
  <si>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</si>
  <si>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</si>
  <si>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</si>
  <si>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</si>
  <si>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</si>
  <si>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</si>
  <si>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</si>
  <si>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</si>
  <si>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</si>
  <si>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</si>
  <si>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</si>
  <si>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</si>
  <si>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</si>
  <si>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</si>
  <si>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</si>
  <si>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</si>
  <si>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</si>
  <si>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</si>
  <si>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</si>
  <si>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</si>
  <si>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</si>
  <si>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</si>
  <si>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</si>
  <si>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</si>
  <si>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</si>
  <si>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</si>
  <si>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</si>
  <si>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</si>
  <si>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</si>
  <si>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</si>
  <si>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</si>
  <si>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</si>
  <si>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</si>
  <si>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</si>
  <si>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</si>
  <si>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</si>
  <si>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</si>
  <si>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</si>
  <si>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</si>
  <si>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</si>
  <si>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</si>
  <si>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</si>
  <si>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</si>
  <si>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</si>
  <si>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</si>
  <si>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</si>
  <si>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</si>
  <si>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</si>
  <si>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</si>
  <si>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</si>
  <si>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</si>
  <si>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</si>
  <si>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</si>
  <si>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</si>
  <si>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</si>
  <si>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</si>
  <si>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</si>
  <si>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</si>
  <si>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</si>
  <si>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</si>
  <si>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</si>
  <si>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</si>
  <si>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</si>
  <si>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</si>
  <si>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</si>
  <si>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</si>
  <si>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</si>
  <si>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</si>
  <si>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</si>
  <si>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</si>
  <si>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</si>
  <si>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</si>
  <si>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</si>
  <si>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</si>
  <si>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</si>
  <si>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</si>
  <si>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</si>
  <si>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</si>
  <si>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</si>
  <si>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</si>
  <si>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</si>
  <si>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</si>
  <si>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</si>
  <si>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</si>
  <si>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</si>
  <si>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</si>
  <si>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</si>
  <si>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</si>
  <si>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</si>
  <si>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</si>
  <si>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</si>
  <si>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</si>
  <si>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</si>
  <si>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</si>
  <si>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</si>
  <si>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</si>
  <si>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</si>
  <si>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</si>
  <si>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</si>
  <si>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</si>
  <si>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</si>
  <si>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</si>
  <si>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</si>
  <si>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</si>
  <si>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</si>
  <si>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</si>
  <si>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</si>
  <si>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</si>
  <si>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</si>
  <si>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</si>
  <si>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</si>
  <si>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</si>
  <si>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</si>
  <si>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</si>
  <si>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</si>
  <si>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</si>
  <si>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</si>
  <si>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</si>
  <si>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</si>
  <si>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</si>
  <si>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</si>
  <si>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</si>
  <si>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</si>
  <si>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</si>
  <si>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</si>
  <si>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</si>
  <si>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</si>
  <si>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</si>
  <si>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</si>
  <si>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</si>
  <si>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</si>
  <si>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</si>
  <si>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</si>
  <si>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</si>
  <si>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</si>
  <si>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</si>
  <si>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</si>
  <si>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</si>
  <si>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</si>
  <si>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</si>
  <si>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</si>
  <si>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</si>
  <si>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</si>
  <si>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</si>
  <si>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</si>
  <si>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</si>
  <si>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</si>
  <si>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</si>
  <si>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</si>
  <si>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</si>
  <si>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</si>
  <si>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</si>
  <si>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</si>
  <si>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</si>
  <si>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</si>
  <si>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</si>
  <si>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</si>
  <si>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</si>
  <si>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</si>
  <si>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</si>
  <si>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</si>
  <si>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</si>
  <si>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</si>
  <si>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</si>
  <si>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</si>
  <si>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</si>
  <si>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</si>
  <si>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</si>
  <si>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</si>
  <si>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</si>
  <si>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</si>
  <si>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</si>
  <si>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290101001</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</si>
  <si>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</si>
  <si>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</si>
  <si>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</si>
  <si>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</si>
  <si>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</si>
  <si>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</si>
  <si>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</si>
  <si>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</si>
  <si>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</si>
  <si>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</si>
  <si>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</si>
  <si>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</si>
  <si>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</si>
  <si>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</si>
  <si>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</si>
  <si>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</si>
  <si>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</si>
  <si>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</si>
  <si>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</si>
  <si>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</si>
  <si>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</si>
  <si>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</si>
  <si>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</si>
  <si>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</si>
  <si>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</si>
  <si>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</si>
  <si>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</si>
  <si>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</si>
  <si>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</si>
  <si>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</si>
  <si>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</si>
  <si>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</si>
  <si>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</si>
  <si>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</si>
  <si>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</si>
  <si>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</si>
  <si>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</si>
  <si>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</si>
  <si>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</si>
  <si>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</si>
  <si>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</si>
  <si>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</si>
  <si>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</si>
  <si>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</si>
  <si>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</si>
  <si>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</si>
  <si>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</si>
  <si>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</si>
  <si>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</si>
  <si>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</si>
  <si>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</si>
  <si>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</si>
  <si>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</si>
  <si>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</si>
  <si>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</si>
  <si>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</si>
  <si>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</si>
  <si>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</si>
  <si>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</si>
  <si>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</si>
  <si>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</si>
  <si>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</si>
  <si>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</si>
  <si>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</si>
  <si>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</si>
  <si>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</si>
  <si>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</si>
  <si>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</si>
  <si>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</si>
  <si>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</si>
  <si>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</si>
  <si>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</si>
  <si>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</si>
  <si>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</si>
  <si>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</si>
  <si>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</si>
  <si>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</si>
  <si>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</si>
  <si>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</si>
  <si>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</si>
  <si>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</si>
  <si>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</si>
  <si>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</si>
  <si>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</si>
  <si>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</si>
  <si>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</si>
  <si>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</si>
  <si>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</si>
  <si>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</si>
  <si>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</si>
  <si>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</si>
  <si>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</si>
  <si>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</si>
  <si>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</si>
  <si>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</si>
  <si>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</si>
  <si>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</si>
  <si>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</si>
  <si>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</si>
  <si>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</si>
  <si>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</si>
  <si>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</si>
  <si>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</si>
  <si>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</si>
  <si>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</si>
  <si>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</si>
  <si>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</si>
  <si>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</si>
  <si>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</si>
  <si>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</si>
  <si>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</si>
  <si>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</si>
  <si>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</si>
  <si>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</si>
  <si>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</si>
  <si>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</si>
  <si>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</si>
  <si>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</si>
  <si>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</si>
  <si>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</si>
  <si>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</si>
  <si>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</si>
  <si>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</si>
  <si>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</si>
  <si>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</si>
  <si>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</si>
  <si>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</si>
  <si>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</si>
  <si>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</si>
  <si>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</si>
  <si>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</si>
  <si>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</si>
  <si>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</si>
  <si>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</si>
  <si>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</si>
  <si>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</si>
  <si>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</si>
  <si>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</si>
  <si>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</si>
  <si>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</si>
  <si>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</si>
  <si>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</si>
  <si>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</si>
  <si>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</si>
  <si>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</si>
  <si>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</si>
  <si>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</si>
  <si>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</si>
  <si>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</si>
  <si>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</si>
  <si>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</si>
  <si>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</si>
  <si>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</si>
  <si>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</si>
  <si>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</si>
  <si>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</si>
  <si>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</si>
  <si>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</si>
  <si>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</si>
  <si>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</si>
  <si>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</si>
  <si>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</si>
  <si>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</si>
  <si>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</si>
  <si>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</si>
  <si>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</si>
  <si>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</si>
  <si>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</si>
  <si>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</si>
  <si>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</si>
  <si>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</si>
  <si>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</si>
  <si>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</si>
  <si>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</si>
  <si>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</si>
  <si>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</si>
  <si>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</si>
  <si>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</si>
  <si>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</si>
  <si>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</si>
  <si>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</si>
  <si>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</si>
  <si>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</si>
  <si>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</si>
  <si>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</si>
  <si>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</si>
  <si>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</si>
  <si>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</si>
  <si>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</si>
  <si>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</si>
  <si>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</si>
  <si>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</si>
  <si>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</si>
  <si>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</si>
  <si>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</si>
  <si>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</si>
  <si>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</si>
  <si>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</si>
  <si>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</si>
  <si>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</si>
  <si>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</si>
  <si>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</si>
  <si>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</si>
  <si>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</si>
  <si>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</si>
  <si>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</si>
  <si>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</si>
  <si>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</si>
  <si>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</si>
  <si>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</si>
  <si>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</si>
  <si>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</si>
  <si>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</si>
  <si>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</si>
  <si>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</si>
  <si>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</si>
  <si>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</si>
  <si>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</si>
  <si>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</si>
  <si>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</si>
  <si>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</si>
  <si>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</si>
  <si>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</si>
  <si>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</si>
  <si>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</si>
  <si>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</si>
  <si>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</si>
  <si>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</si>
  <si>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</si>
  <si>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</si>
  <si>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</si>
  <si>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</si>
  <si>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</si>
  <si>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</si>
  <si>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</si>
  <si>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</si>
  <si>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</si>
  <si>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</si>
  <si>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</si>
  <si>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</si>
  <si>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</si>
  <si>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</si>
  <si>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</si>
  <si>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</si>
  <si>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</si>
  <si>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</si>
  <si>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</si>
  <si>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</si>
  <si>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</si>
  <si>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</si>
  <si>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</si>
  <si>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</si>
  <si>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</si>
  <si>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03616000</t>
  </si>
  <si>
    <t>Александровское</t>
  </si>
  <si>
    <t>03616402</t>
  </si>
  <si>
    <t>93</t>
  </si>
  <si>
    <t>Должанское</t>
  </si>
  <si>
    <t>03616404</t>
  </si>
  <si>
    <t>94</t>
  </si>
  <si>
    <t>95</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</si>
  <si>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</si>
  <si>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</si>
  <si>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</si>
  <si>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</si>
  <si>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</si>
  <si>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</si>
  <si>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</si>
  <si>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</si>
  <si>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</si>
  <si>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</si>
  <si>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</si>
  <si>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</si>
  <si>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</si>
  <si>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</si>
  <si>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</si>
  <si>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</si>
  <si>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</si>
  <si>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</si>
  <si>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</si>
  <si>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</si>
  <si>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</si>
  <si>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</si>
  <si>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</si>
  <si>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</si>
  <si>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</si>
  <si>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</si>
  <si>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</si>
  <si>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</si>
  <si>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</si>
  <si>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</si>
  <si>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</si>
  <si>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</si>
  <si>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</si>
  <si>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</si>
  <si>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</si>
  <si>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</si>
  <si>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</si>
  <si>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</si>
  <si>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</si>
  <si>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</si>
  <si>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</si>
  <si>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</si>
  <si>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</si>
  <si>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</si>
  <si>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</si>
  <si>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</si>
  <si>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</si>
  <si>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</si>
  <si>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</si>
  <si>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</si>
  <si>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</si>
  <si>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</si>
  <si>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</si>
  <si>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</si>
  <si>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</si>
  <si>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</si>
  <si>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</si>
  <si>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</si>
  <si>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</si>
  <si>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</si>
  <si>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</si>
  <si>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</si>
  <si>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</si>
  <si>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</si>
  <si>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</si>
  <si>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</si>
  <si>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</si>
  <si>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</si>
  <si>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</si>
  <si>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</si>
  <si>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</si>
  <si>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</si>
  <si>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</si>
  <si>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</si>
  <si>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</si>
  <si>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</si>
  <si>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</si>
  <si>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</si>
  <si>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</si>
  <si>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</si>
  <si>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</si>
  <si>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</si>
  <si>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</si>
  <si>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</si>
  <si>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</si>
  <si>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</si>
  <si>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</si>
  <si>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</si>
  <si>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</si>
  <si>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</si>
  <si>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</si>
  <si>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</si>
  <si>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</si>
  <si>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</si>
  <si>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</si>
  <si>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</si>
  <si>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</si>
  <si>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</si>
  <si>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</si>
  <si>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</si>
  <si>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</si>
  <si>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</si>
  <si>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</si>
  <si>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</si>
  <si>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</si>
  <si>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</si>
  <si>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</si>
  <si>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</si>
  <si>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</si>
  <si>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</si>
  <si>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</si>
  <si>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</si>
  <si>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</si>
  <si>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</si>
  <si>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</si>
  <si>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</si>
  <si>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</si>
  <si>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</si>
  <si>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</si>
  <si>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</si>
  <si>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</si>
  <si>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</si>
  <si>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</si>
  <si>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</si>
  <si>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</si>
  <si>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</si>
  <si>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</si>
  <si>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</si>
  <si>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</si>
  <si>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</si>
  <si>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</si>
  <si>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</si>
  <si>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</si>
  <si>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</si>
  <si>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</si>
  <si>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</si>
  <si>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</si>
  <si>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</si>
  <si>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</si>
  <si>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</si>
  <si>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</si>
  <si>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</si>
  <si>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</si>
  <si>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</si>
  <si>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</si>
  <si>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</si>
  <si>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</si>
  <si>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</si>
  <si>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</si>
  <si>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</si>
  <si>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</si>
  <si>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</si>
  <si>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</si>
  <si>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</si>
  <si>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</si>
  <si>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</si>
  <si>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</si>
  <si>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</si>
  <si>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</si>
  <si>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</si>
  <si>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</si>
  <si>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</si>
  <si>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</si>
  <si>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</si>
  <si>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</si>
  <si>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</si>
  <si>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</si>
  <si>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</si>
  <si>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</si>
  <si>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</si>
  <si>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</si>
  <si>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</si>
  <si>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</si>
  <si>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</si>
  <si>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</si>
  <si>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</si>
  <si>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</si>
  <si>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</si>
  <si>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</si>
  <si>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</si>
  <si>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</si>
  <si>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</si>
  <si>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</si>
  <si>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</si>
  <si>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</si>
  <si>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</si>
  <si>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</si>
  <si>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</si>
  <si>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</si>
  <si>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</si>
  <si>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</si>
  <si>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</si>
  <si>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</si>
  <si>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</si>
  <si>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</si>
  <si>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</si>
  <si>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</si>
  <si>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</si>
  <si>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</si>
  <si>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</si>
  <si>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</si>
  <si>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</si>
  <si>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</si>
  <si>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</si>
  <si>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</si>
  <si>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</si>
  <si>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</si>
  <si>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</si>
  <si>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</si>
  <si>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</si>
  <si>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</si>
  <si>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</si>
  <si>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</si>
  <si>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</si>
  <si>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</si>
  <si>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</si>
  <si>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</si>
  <si>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</si>
  <si>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</si>
  <si>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</si>
  <si>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</si>
  <si>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</si>
  <si>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</si>
  <si>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</si>
  <si>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</si>
  <si>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</si>
  <si>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</si>
  <si>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</si>
  <si>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</si>
  <si>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</si>
  <si>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</si>
  <si>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</si>
  <si>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</si>
  <si>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</si>
  <si>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</si>
  <si>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</si>
  <si>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</si>
  <si>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</si>
  <si>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</si>
  <si>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</si>
  <si>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</si>
  <si>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</si>
  <si>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</si>
  <si>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</si>
  <si>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</si>
  <si>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</si>
  <si>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</si>
  <si>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</si>
  <si>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</si>
  <si>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</si>
  <si>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</si>
  <si>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</si>
  <si>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</si>
  <si>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</si>
  <si>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</si>
  <si>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</si>
  <si>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</si>
  <si>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</si>
  <si>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</si>
  <si>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</si>
  <si>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</si>
  <si>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</si>
  <si>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</si>
  <si>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</si>
  <si>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</si>
  <si>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</si>
  <si>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</si>
  <si>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</si>
  <si>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</si>
  <si>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</si>
  <si>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</si>
  <si>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</si>
  <si>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</si>
  <si>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</si>
  <si>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</si>
  <si>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</si>
  <si>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</si>
  <si>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</si>
  <si>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</si>
  <si>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</si>
  <si>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</si>
  <si>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</si>
  <si>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</si>
  <si>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</si>
  <si>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</si>
  <si>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</si>
  <si>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</si>
  <si>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</si>
  <si>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</si>
  <si>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</si>
  <si>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</si>
  <si>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</si>
  <si>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</si>
  <si>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</si>
  <si>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</si>
  <si>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</si>
  <si>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</si>
  <si>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</si>
  <si>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</si>
  <si>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</si>
  <si>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</si>
  <si>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</si>
  <si>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</si>
  <si>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</si>
  <si>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</si>
  <si>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</si>
  <si>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</si>
  <si>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</si>
  <si>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</si>
  <si>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</si>
  <si>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</si>
  <si>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</si>
  <si>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</si>
  <si>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</si>
  <si>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</si>
  <si>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</si>
  <si>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</si>
  <si>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</si>
  <si>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</si>
  <si>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</si>
  <si>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</si>
  <si>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</si>
  <si>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</si>
  <si>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</si>
  <si>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</si>
  <si>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</si>
  <si>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</si>
  <si>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</si>
  <si>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</si>
  <si>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</si>
  <si>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</si>
  <si>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</si>
  <si>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</si>
  <si>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</si>
  <si>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</si>
  <si>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</si>
  <si>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</si>
  <si>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</si>
  <si>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</si>
  <si>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</si>
  <si>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</si>
  <si>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</si>
  <si>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</si>
  <si>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</si>
  <si>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</si>
  <si>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</si>
  <si>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</si>
  <si>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</si>
  <si>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</si>
  <si>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</si>
  <si>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</si>
  <si>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</si>
  <si>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</si>
  <si>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</si>
  <si>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</si>
  <si>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</si>
  <si>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</si>
  <si>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</si>
  <si>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</si>
  <si>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</si>
  <si>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</si>
  <si>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</si>
  <si>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</si>
  <si>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</si>
  <si>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</si>
  <si>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</si>
  <si>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</si>
  <si>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</si>
  <si>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</si>
  <si>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</si>
  <si>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</si>
  <si>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</si>
  <si>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</si>
  <si>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</si>
  <si>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</si>
  <si>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</si>
  <si>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</si>
  <si>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</si>
  <si>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</si>
  <si>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</si>
  <si>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</si>
  <si>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</si>
  <si>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</si>
  <si>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</si>
  <si>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</si>
  <si>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</si>
  <si>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</si>
  <si>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</si>
  <si>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</si>
  <si>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</si>
  <si>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</si>
  <si>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</si>
  <si>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</si>
  <si>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</si>
  <si>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</si>
  <si>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</si>
  <si>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</si>
  <si>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</si>
  <si>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</si>
  <si>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</si>
  <si>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</si>
  <si>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</si>
  <si>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</si>
  <si>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</si>
  <si>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</si>
  <si>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</si>
  <si>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</si>
  <si>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</si>
  <si>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</si>
  <si>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</si>
  <si>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</si>
  <si>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</si>
  <si>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</si>
  <si>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</si>
  <si>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</si>
  <si>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</si>
  <si>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</si>
  <si>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</si>
  <si>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</si>
  <si>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</si>
  <si>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</si>
  <si>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</si>
  <si>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</si>
  <si>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</si>
  <si>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</si>
  <si>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</si>
  <si>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</si>
  <si>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</si>
  <si>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</si>
  <si>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</si>
  <si>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</si>
  <si>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</si>
  <si>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</si>
  <si>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</si>
  <si>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</si>
  <si>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</si>
  <si>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</si>
  <si>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</si>
  <si>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</si>
  <si>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</si>
  <si>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</si>
  <si>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</si>
  <si>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</si>
  <si>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</si>
  <si>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</si>
  <si>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</si>
  <si>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</si>
  <si>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</si>
  <si>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</si>
  <si>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</si>
  <si>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</si>
  <si>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</si>
  <si>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</si>
  <si>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</si>
  <si>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</si>
  <si>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</si>
  <si>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</si>
  <si>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</si>
  <si>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</si>
  <si>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</si>
  <si>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</si>
  <si>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</si>
  <si>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</si>
  <si>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</si>
  <si>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</si>
  <si>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</si>
  <si>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</si>
  <si>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</si>
  <si>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</si>
  <si>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</si>
  <si>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</si>
  <si>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</si>
  <si>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</si>
  <si>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</si>
  <si>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</si>
  <si>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</si>
  <si>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</si>
  <si>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</si>
  <si>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</si>
  <si>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</si>
  <si>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</si>
  <si>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</si>
  <si>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</si>
  <si>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</si>
  <si>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</si>
  <si>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</si>
  <si>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</si>
  <si>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</si>
  <si>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</si>
  <si>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</si>
  <si>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</si>
  <si>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</si>
  <si>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</si>
  <si>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</si>
  <si>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</si>
  <si>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</si>
  <si>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</si>
  <si>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</si>
  <si>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</si>
  <si>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</si>
  <si>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</si>
  <si>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</si>
  <si>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</si>
  <si>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</si>
  <si>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</si>
  <si>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</si>
  <si>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</si>
  <si>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</si>
  <si>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</si>
  <si>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</si>
  <si>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</si>
  <si>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</si>
  <si>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</si>
  <si>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</si>
  <si>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</si>
  <si>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</si>
  <si>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</si>
  <si>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</si>
  <si>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</si>
  <si>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</si>
  <si>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</si>
  <si>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</si>
  <si>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</si>
  <si>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</si>
  <si>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</si>
  <si>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</si>
  <si>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</si>
  <si>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</si>
  <si>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</si>
  <si>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</si>
  <si>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</si>
  <si>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</si>
  <si>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</si>
  <si>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</si>
  <si>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</si>
  <si>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</si>
  <si>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</si>
  <si>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</si>
  <si>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</si>
  <si>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</si>
  <si>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</si>
  <si>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</si>
  <si>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</si>
  <si>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</si>
  <si>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</si>
  <si>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</si>
  <si>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</si>
  <si>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</si>
  <si>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</si>
  <si>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</si>
  <si>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</si>
  <si>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</si>
  <si>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</si>
  <si>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</si>
  <si>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</si>
  <si>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</si>
  <si>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</si>
  <si>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</si>
  <si>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</si>
  <si>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</si>
  <si>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</si>
  <si>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</si>
  <si>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</si>
  <si>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</si>
  <si>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</si>
  <si>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</si>
  <si>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</si>
  <si>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</si>
  <si>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</si>
  <si>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</si>
  <si>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</si>
  <si>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</si>
  <si>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</si>
  <si>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</si>
  <si>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</si>
  <si>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</si>
  <si>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</si>
  <si>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</si>
  <si>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</si>
  <si>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</si>
  <si>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</si>
  <si>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</si>
  <si>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</si>
  <si>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</si>
  <si>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</si>
  <si>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</si>
  <si>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</si>
  <si>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</si>
  <si>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</si>
  <si>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</si>
  <si>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</si>
  <si>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</si>
  <si>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</si>
  <si>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</si>
  <si>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</si>
  <si>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</si>
  <si>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</si>
  <si>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</si>
  <si>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</si>
  <si>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</si>
  <si>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</si>
  <si>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</si>
  <si>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</si>
  <si>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</si>
  <si>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</si>
  <si>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</si>
  <si>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</si>
  <si>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</si>
  <si>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</si>
  <si>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</si>
  <si>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</si>
  <si>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</si>
  <si>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</si>
  <si>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</si>
  <si>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</si>
  <si>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</si>
  <si>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</si>
  <si>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</si>
  <si>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</si>
  <si>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</si>
  <si>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</si>
  <si>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</si>
  <si>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</si>
  <si>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</si>
  <si>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</si>
  <si>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</si>
  <si>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</si>
  <si>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</si>
  <si>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</si>
  <si>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</si>
  <si>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</si>
  <si>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</si>
  <si>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</si>
  <si>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</si>
  <si>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</si>
  <si>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</si>
  <si>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</si>
  <si>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</si>
  <si>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</si>
  <si>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</si>
  <si>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</si>
  <si>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</si>
  <si>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</si>
  <si>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</si>
  <si>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</si>
  <si>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</si>
  <si>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</si>
  <si>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</si>
  <si>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</si>
  <si>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</si>
  <si>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</si>
  <si>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</si>
  <si>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</si>
  <si>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</si>
  <si>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</si>
  <si>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</si>
  <si>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</si>
  <si>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</si>
  <si>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</si>
  <si>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</si>
  <si>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</si>
  <si>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</si>
  <si>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</si>
  <si>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</si>
  <si>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</si>
  <si>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</si>
  <si>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</si>
  <si>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</si>
  <si>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</si>
  <si>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</si>
  <si>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</si>
  <si>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</si>
  <si>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</si>
  <si>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</si>
  <si>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</si>
  <si>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</si>
  <si>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</si>
  <si>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</si>
  <si>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</si>
  <si>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</si>
  <si>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</si>
  <si>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</si>
  <si>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</si>
  <si>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</si>
  <si>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</si>
  <si>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</si>
  <si>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</si>
  <si>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</si>
  <si>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</si>
  <si>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</si>
  <si>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</si>
  <si>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</si>
  <si>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</si>
  <si>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</si>
  <si>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</si>
  <si>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</si>
  <si>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</si>
  <si>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</si>
  <si>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</si>
  <si>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</si>
  <si>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</si>
  <si>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</si>
  <si>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</si>
  <si>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</si>
  <si>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</si>
  <si>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</si>
  <si>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</si>
  <si>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</si>
  <si>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</si>
  <si>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</si>
  <si>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</si>
  <si>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</si>
  <si>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</si>
  <si>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</si>
  <si>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</si>
  <si>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</si>
  <si>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</si>
  <si>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</si>
  <si>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</si>
  <si>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</si>
  <si>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</si>
  <si>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</si>
  <si>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</si>
  <si>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</si>
  <si>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</si>
  <si>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</si>
  <si>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</si>
  <si>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</si>
  <si>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</si>
  <si>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</si>
  <si>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</si>
  <si>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</si>
  <si>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</si>
  <si>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</si>
  <si>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</si>
  <si>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</si>
  <si>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</si>
  <si>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</si>
  <si>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</si>
  <si>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</si>
  <si>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</si>
  <si>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</si>
  <si>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</si>
  <si>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</si>
  <si>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</si>
  <si>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</si>
  <si>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</si>
  <si>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</si>
  <si>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</si>
  <si>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</si>
  <si>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</si>
  <si>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</si>
  <si>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</si>
  <si>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</si>
  <si>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</si>
  <si>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</si>
  <si>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</si>
  <si>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</si>
  <si>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</si>
  <si>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</si>
  <si>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</si>
  <si>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</si>
  <si>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</si>
  <si>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</si>
  <si>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</si>
  <si>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</si>
  <si>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</si>
  <si>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</si>
  <si>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</si>
  <si>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</si>
  <si>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</si>
  <si>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</si>
  <si>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</si>
  <si>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</si>
  <si>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</si>
  <si>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</si>
  <si>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</si>
  <si>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</si>
  <si>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</si>
  <si>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</si>
  <si>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</si>
  <si>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</si>
  <si>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</si>
  <si>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</si>
  <si>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</si>
  <si>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</si>
  <si>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</si>
  <si>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</si>
  <si>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</si>
  <si>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</si>
  <si>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</si>
  <si>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</si>
  <si>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</si>
  <si>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</si>
  <si>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</si>
  <si>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</si>
  <si>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</si>
  <si>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</si>
  <si>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</si>
  <si>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</si>
  <si>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</si>
  <si>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</si>
  <si>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</si>
  <si>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</si>
  <si>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</si>
  <si>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</si>
  <si>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</si>
  <si>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</si>
  <si>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</si>
  <si>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</si>
  <si>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</si>
  <si>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</si>
  <si>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</si>
  <si>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</si>
  <si>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</si>
  <si>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</si>
  <si>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</si>
  <si>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</si>
  <si>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</si>
  <si>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</si>
  <si>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</si>
  <si>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</si>
  <si>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</si>
  <si>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</si>
  <si>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</si>
  <si>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</si>
  <si>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</si>
  <si>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</si>
  <si>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</si>
  <si>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</si>
  <si>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</si>
  <si>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</si>
  <si>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</si>
  <si>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</si>
  <si>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</si>
  <si>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</si>
  <si>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</si>
  <si>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</si>
  <si>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</si>
  <si>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</si>
  <si>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</si>
  <si>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</si>
  <si>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</si>
  <si>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</si>
  <si>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</si>
  <si>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</si>
  <si>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</si>
  <si>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</si>
  <si>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</si>
  <si>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</si>
  <si>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</si>
  <si>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</si>
  <si>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</si>
  <si>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</si>
  <si>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</si>
  <si>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</si>
  <si>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</si>
  <si>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</si>
  <si>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</si>
  <si>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</si>
  <si>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</si>
  <si>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</si>
  <si>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</si>
  <si>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</si>
  <si>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</si>
  <si>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</si>
  <si>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</si>
  <si>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</si>
  <si>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</si>
  <si>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</si>
  <si>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</si>
  <si>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</si>
  <si>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</si>
  <si>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</si>
  <si>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</si>
  <si>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</si>
  <si>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</si>
  <si>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</si>
  <si>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</si>
  <si>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</si>
  <si>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</si>
  <si>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</si>
  <si>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</si>
  <si>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</si>
  <si>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</si>
  <si>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</si>
  <si>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</si>
  <si>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</si>
  <si>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</si>
  <si>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</si>
  <si>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</si>
  <si>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</si>
  <si>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</si>
  <si>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</si>
  <si>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</si>
  <si>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</si>
  <si>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</si>
  <si>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</si>
  <si>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</si>
  <si>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</si>
  <si>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</si>
  <si>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</si>
  <si>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</si>
  <si>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</si>
  <si>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</si>
  <si>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</si>
  <si>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</si>
  <si>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</si>
  <si>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</si>
  <si>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</si>
  <si>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</si>
  <si>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</si>
  <si>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</si>
  <si>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</si>
  <si>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</si>
  <si>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</si>
  <si>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</si>
  <si>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</si>
  <si>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</si>
  <si>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</si>
  <si>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</si>
  <si>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</si>
  <si>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</si>
  <si>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</si>
  <si>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</si>
  <si>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</si>
  <si>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</si>
  <si>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</si>
  <si>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</si>
  <si>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</si>
  <si>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</si>
  <si>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</si>
  <si>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</si>
  <si>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</si>
  <si>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</si>
  <si>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</si>
  <si>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</si>
  <si>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</si>
  <si>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</si>
  <si>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</si>
  <si>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</si>
  <si>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</si>
  <si>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</si>
  <si>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</si>
  <si>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</si>
  <si>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</si>
  <si>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</si>
  <si>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</si>
  <si>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</si>
  <si>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Щербиновский муниципальный район</t>
  </si>
  <si>
    <t>03659000</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</si>
  <si>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</si>
  <si>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</si>
  <si>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</si>
  <si>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</si>
  <si>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</si>
  <si>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</si>
  <si>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</si>
  <si>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</si>
  <si>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</si>
  <si>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</si>
  <si>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</si>
  <si>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</si>
  <si>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</si>
  <si>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</si>
  <si>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</si>
  <si>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</si>
  <si>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</si>
  <si>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</si>
  <si>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</si>
  <si>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</si>
  <si>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429</t>
  </si>
  <si>
    <t>Щербиновское</t>
  </si>
  <si>
    <t>03659419</t>
  </si>
  <si>
    <t>430</t>
  </si>
  <si>
    <t>город-герой Новороссийск</t>
  </si>
  <si>
    <t>03720000</t>
  </si>
  <si>
    <t>431</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</si>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</sst>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73" fontId="7" fillId="0" borderId="0" applyFont="0" applyFill="0" applyBorder="0">
      <alignment vertical="top"/>
      <protection/>
    </xf>
    <xf numFmtId="174" fontId="7" fillId="0" borderId="0" applyFont="0" applyFill="0" applyBorder="0">
      <alignment vertical="top"/>
      <protection/>
    </xf>
    <xf numFmtId="171" fontId="7" fillId="0" borderId="0" applyFont="0" applyFill="0" applyBorder="0">
      <alignment vertical="top"/>
      <protection/>
    </xf>
    <xf numFmtId="172"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75" fontId="21" fillId="0" borderId="0" applyFill="0" applyBorder="0">
      <alignment/>
      <protection/>
    </xf>
    <xf numFmtId="38" fontId="22" fillId="0" borderId="0" applyFill="0" applyBorder="0">
      <alignment vertical="top"/>
      <protection/>
    </xf>
    <xf numFmtId="176" fontId="23" fillId="33" borderId="0" applyBorder="0">
      <alignment/>
      <protection locked="0"/>
    </xf>
    <xf numFmtId="0" fontId="24" fillId="0" borderId="0" applyFill="0" applyBorder="0">
      <alignment vertical="center"/>
      <protection/>
    </xf>
    <xf numFmtId="177" fontId="23" fillId="33" borderId="0" applyBorder="0">
      <alignment/>
      <protection locked="0"/>
    </xf>
    <xf numFmtId="178"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36">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71" fontId="7" fillId="0" borderId="0" xfId="18" applyNumberFormat="1" applyAlignment="1">
      <alignment vertical="top"/>
      <protection/>
    </xf>
    <xf numFmtId="172" fontId="7" fillId="0" borderId="0" xfId="19" applyNumberFormat="1" applyAlignment="1">
      <alignment vertical="top"/>
      <protection/>
    </xf>
    <xf numFmtId="173" fontId="7" fillId="0" borderId="0" xfId="16" applyNumberFormat="1" applyAlignment="1">
      <alignment vertical="top"/>
      <protection/>
    </xf>
    <xf numFmtId="174"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75" fontId="21" fillId="0" borderId="0" xfId="63" applyNumberFormat="1" applyFont="1">
      <alignment/>
      <protection/>
    </xf>
    <xf numFmtId="38" fontId="22" fillId="0" borderId="0" xfId="64" applyNumberFormat="1" applyFont="1" applyAlignment="1">
      <alignment vertical="top"/>
      <protection/>
    </xf>
    <xf numFmtId="176" fontId="23" fillId="33" borderId="0" xfId="65" applyNumberFormat="1" applyFont="1" applyFill="1" applyProtection="1">
      <alignment/>
      <protection locked="0"/>
    </xf>
    <xf numFmtId="0" fontId="24" fillId="0" borderId="0" xfId="66" applyFont="1" applyAlignment="1">
      <alignment vertical="center"/>
      <protection/>
    </xf>
    <xf numFmtId="177" fontId="23" fillId="33" borderId="0" xfId="67" applyNumberFormat="1" applyFont="1" applyFill="1" applyProtection="1">
      <alignment/>
      <protection locked="0"/>
    </xf>
    <xf numFmtId="178"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80"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77"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78"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78"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78"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80"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78"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78" fontId="23" fillId="39" borderId="13" xfId="0" applyNumberFormat="1" applyFont="1" applyFill="1" applyBorder="1" applyAlignment="1" applyProtection="1">
      <alignment horizontal="right" vertical="center" wrapText="1"/>
      <protection locked="0"/>
    </xf>
    <xf numFmtId="178"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77"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77"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77"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77" fontId="48" fillId="0" borderId="12" xfId="0" applyNumberFormat="1" applyFont="1" applyBorder="1" applyAlignment="1">
      <alignment horizontal="right" vertical="center" wrapText="1"/>
    </xf>
    <xf numFmtId="177"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77"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80"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80"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80"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79" fontId="0" fillId="39" borderId="12" xfId="0" applyNumberFormat="1" applyFont="1" applyFill="1" applyBorder="1" applyAlignment="1" applyProtection="1">
      <alignment horizontal="left" vertical="center" wrapText="1" indent="1"/>
      <protection locked="0"/>
    </xf>
    <xf numFmtId="179" fontId="0" fillId="0" borderId="12" xfId="0" applyNumberFormat="1" applyFont="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179" fontId="48" fillId="0" borderId="0" xfId="0" applyNumberFormat="1" applyFont="1" applyAlignment="1">
      <alignment horizontal="center" vertical="center" wrapText="1"/>
    </xf>
    <xf numFmtId="17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left" vertical="center" wrapText="1"/>
      <protection locked="0"/>
    </xf>
    <xf numFmtId="179" fontId="0" fillId="36" borderId="12" xfId="0" applyNumberFormat="1" applyFont="1" applyFill="1" applyBorder="1" applyAlignment="1" applyProtection="1">
      <alignment horizontal="left" vertical="center" wrapText="1" indent="1"/>
      <protection locked="0"/>
    </xf>
    <xf numFmtId="179"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79" fontId="0" fillId="39" borderId="14" xfId="0" applyNumberFormat="1" applyFont="1" applyFill="1" applyBorder="1" applyAlignment="1" applyProtection="1">
      <alignment horizontal="left" vertical="center" wrapText="1"/>
      <protection locked="0"/>
    </xf>
    <xf numFmtId="179"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80"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80"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80" fontId="45" fillId="0" borderId="19" xfId="0" applyNumberFormat="1" applyFont="1" applyBorder="1" applyAlignment="1">
      <alignment horizontal="center" vertical="center" wrapText="1"/>
    </xf>
    <xf numFmtId="180" fontId="45" fillId="0" borderId="20" xfId="0" applyNumberFormat="1" applyFont="1" applyBorder="1" applyAlignment="1">
      <alignment horizontal="center" vertical="center" wrapText="1"/>
    </xf>
    <xf numFmtId="181" fontId="23" fillId="39" borderId="12" xfId="0" applyNumberFormat="1" applyFont="1" applyFill="1" applyBorder="1" applyAlignment="1" applyProtection="1">
      <alignment horizontal="left" vertical="center" wrapText="1" indent="1"/>
      <protection locked="0"/>
    </xf>
    <xf numFmtId="179"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77"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79" fontId="23" fillId="34" borderId="12" xfId="0" applyNumberFormat="1" applyFont="1" applyFill="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79"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79"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79"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80" fontId="23" fillId="0" borderId="17" xfId="0" applyNumberFormat="1" applyFont="1" applyBorder="1" applyAlignment="1">
      <alignment horizontal="center" vertical="center" wrapText="1"/>
    </xf>
    <xf numFmtId="180" fontId="23" fillId="0" borderId="23" xfId="0" applyNumberFormat="1" applyFont="1" applyBorder="1" applyAlignment="1">
      <alignment horizontal="center" vertical="center" wrapText="1"/>
    </xf>
    <xf numFmtId="180" fontId="23" fillId="0" borderId="14" xfId="0" applyNumberFormat="1" applyFont="1" applyBorder="1" applyAlignment="1">
      <alignment horizontal="center" vertical="center" wrapText="1"/>
    </xf>
    <xf numFmtId="180" fontId="23" fillId="0" borderId="15" xfId="0" applyNumberFormat="1" applyFont="1" applyBorder="1" applyAlignment="1">
      <alignment horizontal="center" vertical="center" wrapText="1"/>
    </xf>
    <xf numFmtId="180"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80" fontId="23" fillId="0" borderId="36" xfId="0" applyNumberFormat="1" applyFont="1" applyBorder="1" applyAlignment="1">
      <alignment horizontal="center" vertical="center" wrapText="1"/>
    </xf>
    <xf numFmtId="180" fontId="23" fillId="0" borderId="12" xfId="0" applyNumberFormat="1" applyFont="1" applyBorder="1" applyAlignment="1">
      <alignment horizontal="center" vertical="center" wrapText="1"/>
    </xf>
    <xf numFmtId="180"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79"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79"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79"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30" fillId="0" borderId="0" xfId="0" applyFont="1"/>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66EE4C9-B5F6-118A-26B8-0.5062B1DA}"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32" customWidth="1"/>
    <col min="2" max="2" width="9.14285714285714" style="2632" customWidth="1"/>
    <col min="3" max="3" width="16.4285714285714" style="2632" customWidth="1"/>
    <col min="4" max="25" width="6.28571428571429" style="2632" customWidth="1"/>
    <col min="26" max="28" width="11" style="2632"/>
  </cols>
  <sheetData>
    <row r="1" spans="1:28" ht="15.75" customHeight="1">
      <c r="A1" s="1702"/>
      <c s="1703"/>
      <c s="1703"/>
      <c s="1703"/>
      <c s="1703"/>
      <c s="1703"/>
      <c s="1703"/>
      <c s="1703"/>
      <c s="1703"/>
      <c s="1703"/>
      <c s="1703"/>
      <c s="1703"/>
      <c s="1703"/>
      <c s="1703"/>
      <c s="1703"/>
      <c s="1703"/>
      <c s="1703"/>
      <c s="1703"/>
      <c s="1703"/>
      <c s="1703"/>
      <c s="1703"/>
      <c s="1703"/>
      <c s="1703"/>
      <c s="1703"/>
      <c s="1704"/>
      <c s="1703"/>
      <c s="1705" t="s">
        <v>0</v>
      </c>
      <c s="1703"/>
    </row>
    <row r="2" spans="1:28" ht="17.25" customHeight="1">
      <c r="A2" s="1703"/>
      <c s="2079" t="s">
        <v>1</v>
      </c>
      <c s="2079"/>
      <c s="2079"/>
      <c s="2079"/>
      <c s="2079"/>
      <c s="2079"/>
      <c s="2079"/>
      <c s="2079"/>
      <c s="2079"/>
      <c s="2079"/>
      <c s="2079"/>
      <c s="2079"/>
      <c s="2079"/>
      <c s="2079"/>
      <c s="2079"/>
      <c s="1707"/>
      <c s="1707"/>
      <c s="1707"/>
      <c s="1707"/>
      <c s="1707"/>
      <c s="1708"/>
      <c s="1707"/>
      <c s="1707"/>
      <c s="1704"/>
      <c s="1703"/>
      <c s="1705"/>
      <c s="1703"/>
    </row>
    <row r="3" spans="1:28" ht="15.75" customHeight="1">
      <c r="A3" s="1703"/>
      <c s="2080" t="s">
        <v>2</v>
      </c>
      <c s="2080"/>
      <c s="2080"/>
      <c s="2080"/>
      <c s="2080"/>
      <c s="2080"/>
      <c s="2080"/>
      <c s="2080"/>
      <c s="2080"/>
      <c s="2080"/>
      <c s="2080"/>
      <c s="2080"/>
      <c s="2080"/>
      <c s="2080"/>
      <c s="2080"/>
      <c s="1708"/>
      <c s="1708"/>
      <c s="1707"/>
      <c s="1707"/>
      <c s="1707"/>
      <c s="1708"/>
      <c s="1708"/>
      <c s="1708"/>
      <c s="1708"/>
      <c s="1703"/>
      <c s="1705"/>
      <c s="1703"/>
    </row>
    <row r="4" spans="1:28" ht="17.25" customHeight="1">
      <c r="A4" s="1703"/>
      <c s="1709"/>
      <c s="1703"/>
      <c s="1708"/>
      <c s="1708"/>
      <c s="1708"/>
      <c s="1708"/>
      <c s="1708"/>
      <c s="1708"/>
      <c s="1708"/>
      <c s="1708"/>
      <c s="1708"/>
      <c s="1708"/>
      <c s="1708"/>
      <c s="1708"/>
      <c s="1708"/>
      <c s="1708"/>
      <c s="1708"/>
      <c s="1708"/>
      <c s="1708"/>
      <c s="1708"/>
      <c s="1708"/>
      <c s="1708"/>
      <c s="1708"/>
      <c s="1708"/>
      <c s="1703"/>
      <c s="1705"/>
      <c s="1703"/>
    </row>
    <row r="5" spans="1:28" ht="22.5" customHeight="1">
      <c r="A5" s="1710"/>
      <c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82"/>
      <c s="2082"/>
      <c s="2082"/>
      <c s="2082"/>
      <c s="2082"/>
      <c s="2082"/>
      <c s="2082"/>
      <c s="2082"/>
      <c s="2082"/>
      <c s="2082"/>
      <c s="2082"/>
      <c s="2082"/>
      <c s="2082"/>
      <c s="2082"/>
      <c s="2082"/>
      <c s="2082"/>
      <c s="2082"/>
      <c s="2082"/>
      <c s="2082"/>
      <c s="2082"/>
      <c s="2082"/>
      <c s="2082"/>
      <c s="2083"/>
      <c s="1710"/>
      <c s="1705"/>
      <c s="1710"/>
    </row>
    <row r="6" spans="1:28" ht="15" customHeight="1">
      <c r="A6" s="1711"/>
      <c s="2084" t="s">
        <v>3</v>
      </c>
      <c s="2085"/>
      <c s="1712"/>
      <c s="1712"/>
      <c s="1712"/>
      <c s="1712"/>
      <c s="1712"/>
      <c s="1712"/>
      <c s="1712"/>
      <c s="1712"/>
      <c s="1712"/>
      <c s="1712"/>
      <c s="1712"/>
      <c s="1712"/>
      <c s="1712"/>
      <c s="1712"/>
      <c s="1712"/>
      <c s="1712"/>
      <c s="1712"/>
      <c s="1712"/>
      <c s="1712"/>
      <c s="1712"/>
      <c s="1712"/>
      <c s="1713"/>
      <c s="1714"/>
      <c s="1715"/>
      <c s="1715"/>
    </row>
    <row r="7" spans="1:28" ht="15" customHeight="1">
      <c r="A7" s="1711"/>
      <c s="2084"/>
      <c s="2085"/>
      <c s="1712"/>
      <c s="1712"/>
      <c s="1716"/>
      <c s="1716"/>
      <c s="1716"/>
      <c s="1716"/>
      <c s="1716"/>
      <c s="1716"/>
      <c s="1716"/>
      <c s="1716"/>
      <c s="1716"/>
      <c s="1712"/>
      <c s="1716"/>
      <c s="1716"/>
      <c s="1716"/>
      <c s="1716"/>
      <c s="1716"/>
      <c s="1716"/>
      <c s="1716"/>
      <c s="1716"/>
      <c s="1716"/>
      <c s="1713"/>
      <c s="1714"/>
      <c s="1715"/>
      <c s="1715"/>
    </row>
    <row r="8" spans="1:28" ht="15" customHeight="1">
      <c r="A8" s="1711"/>
      <c s="2084"/>
      <c s="2085"/>
      <c s="1717"/>
      <c s="1718" t="s">
        <v>4</v>
      </c>
      <c s="2087" t="s">
        <v>5</v>
      </c>
      <c s="2088"/>
      <c s="2088"/>
      <c s="2088"/>
      <c s="2088"/>
      <c s="2088"/>
      <c s="2088"/>
      <c s="2088"/>
      <c s="1717"/>
      <c s="1719" t="s">
        <v>4</v>
      </c>
      <c s="2089" t="s">
        <v>6</v>
      </c>
      <c s="2090"/>
      <c s="2090"/>
      <c s="2090"/>
      <c s="2090"/>
      <c s="2090"/>
      <c s="2090"/>
      <c s="2090"/>
      <c s="2090"/>
      <c s="1713"/>
      <c s="1714"/>
      <c s="1715"/>
      <c s="1715"/>
    </row>
    <row r="9" spans="1:28" ht="15" customHeight="1">
      <c r="A9" s="1711"/>
      <c s="2084"/>
      <c s="2085"/>
      <c s="1717"/>
      <c s="1720" t="s">
        <v>4</v>
      </c>
      <c s="2087" t="s">
        <v>7</v>
      </c>
      <c s="2088"/>
      <c s="2088"/>
      <c s="2088"/>
      <c s="2088"/>
      <c s="2088"/>
      <c s="2088"/>
      <c s="2088"/>
      <c s="1717"/>
      <c s="1721" t="s">
        <v>4</v>
      </c>
      <c s="2089" t="s">
        <v>8</v>
      </c>
      <c s="2090"/>
      <c s="2090"/>
      <c s="2090"/>
      <c s="2090"/>
      <c s="2090"/>
      <c s="2090"/>
      <c s="2090"/>
      <c s="2090"/>
      <c s="1713"/>
      <c s="1714"/>
      <c s="1715"/>
      <c s="1715"/>
    </row>
    <row r="10" spans="1:28" ht="30" customHeight="1">
      <c r="A10" s="1711"/>
      <c s="2084"/>
      <c s="2086"/>
      <c s="1722"/>
      <c s="1723"/>
      <c s="1716"/>
      <c s="1716"/>
      <c s="1716"/>
      <c s="1716"/>
      <c s="1716"/>
      <c s="1716"/>
      <c s="1716"/>
      <c s="1716"/>
      <c s="1716"/>
      <c s="1723"/>
      <c s="1716"/>
      <c s="1716"/>
      <c s="1716"/>
      <c s="1716"/>
      <c s="1716"/>
      <c s="1716"/>
      <c s="1716"/>
      <c s="1716"/>
      <c s="1716"/>
      <c s="1713"/>
      <c s="1714"/>
      <c s="1715"/>
      <c s="1715"/>
    </row>
    <row r="11" spans="1:28" ht="19.5" customHeight="1">
      <c r="A11" s="1711"/>
      <c s="2091" t="s">
        <v>9</v>
      </c>
      <c s="2092"/>
      <c s="1717"/>
      <c s="1724"/>
      <c s="1724"/>
      <c s="1724"/>
      <c s="1724"/>
      <c s="1724"/>
      <c s="1724"/>
      <c s="1724"/>
      <c s="1724"/>
      <c s="1724"/>
      <c s="1724"/>
      <c s="1724"/>
      <c s="1724"/>
      <c s="1724"/>
      <c s="1724"/>
      <c s="1724"/>
      <c s="1724"/>
      <c s="1724"/>
      <c s="1724"/>
      <c s="1724"/>
      <c s="1724"/>
      <c s="1713"/>
      <c s="1714"/>
      <c s="1715"/>
      <c s="1715"/>
    </row>
    <row r="12" spans="1:28" ht="69" customHeight="1">
      <c r="A12" s="1711"/>
      <c s="2084"/>
      <c s="2086"/>
      <c s="1725"/>
      <c s="2088" t="s">
        <v>10</v>
      </c>
      <c s="2088"/>
      <c s="2088"/>
      <c s="2088"/>
      <c s="2088"/>
      <c s="2088"/>
      <c s="2088"/>
      <c s="2088"/>
      <c s="2088"/>
      <c s="2088"/>
      <c s="2088"/>
      <c s="2088"/>
      <c s="2088"/>
      <c s="2088"/>
      <c s="2088"/>
      <c s="2088"/>
      <c s="2088"/>
      <c s="2088"/>
      <c s="2088"/>
      <c s="2088"/>
      <c s="1713"/>
      <c s="1714"/>
      <c s="1715"/>
      <c s="1715"/>
    </row>
    <row r="13" spans="1:28" ht="15" customHeight="1">
      <c r="A13" s="1711"/>
      <c s="2091" t="s">
        <v>11</v>
      </c>
      <c s="2092"/>
      <c s="1712"/>
      <c s="1724"/>
      <c s="1724"/>
      <c s="1724"/>
      <c s="1724"/>
      <c s="1724"/>
      <c s="1724"/>
      <c s="1724"/>
      <c s="1724"/>
      <c s="1724"/>
      <c s="1724"/>
      <c s="1724"/>
      <c s="1724"/>
      <c s="1724"/>
      <c s="1724"/>
      <c s="1724"/>
      <c s="1724"/>
      <c s="1724"/>
      <c s="1724"/>
      <c s="1724"/>
      <c s="1724"/>
      <c s="1713"/>
      <c s="1714"/>
      <c s="1715"/>
      <c s="1715"/>
    </row>
    <row r="14" spans="1:28" ht="57" customHeight="1">
      <c r="A14" s="1711"/>
      <c s="2084"/>
      <c s="2085"/>
      <c s="1717"/>
      <c s="2095" t="s">
        <v>12</v>
      </c>
      <c s="2095"/>
      <c s="2095"/>
      <c s="2095"/>
      <c s="2095"/>
      <c s="2095"/>
      <c s="2095"/>
      <c s="2095"/>
      <c s="2095"/>
      <c s="2095"/>
      <c s="2095"/>
      <c s="2095"/>
      <c s="2095"/>
      <c s="2095"/>
      <c s="2095"/>
      <c s="2095"/>
      <c s="2095"/>
      <c s="2095"/>
      <c s="2095"/>
      <c s="2095"/>
      <c s="1713"/>
      <c s="1714"/>
      <c s="1715"/>
      <c s="1715"/>
    </row>
    <row r="15" spans="1:28" ht="16.5" customHeight="1">
      <c r="A15" s="1711"/>
      <c s="2093"/>
      <c s="2094"/>
      <c s="1726"/>
      <c s="1727"/>
      <c s="1727"/>
      <c s="1727"/>
      <c s="1727"/>
      <c s="1727"/>
      <c s="1727"/>
      <c s="1727"/>
      <c s="1727"/>
      <c s="1727"/>
      <c s="1727"/>
      <c s="1727"/>
      <c s="1727"/>
      <c s="1727"/>
      <c s="1727"/>
      <c s="1727"/>
      <c s="1727"/>
      <c s="1727"/>
      <c s="1727"/>
      <c s="1727"/>
      <c s="1727"/>
      <c s="1728"/>
      <c s="1714"/>
      <c s="1729"/>
      <c s="1715"/>
    </row>
    <row r="16" spans="1:28" ht="95.25" customHeight="1">
      <c r="A16" s="1703"/>
      <c s="2095"/>
      <c s="2096"/>
      <c s="2096"/>
      <c s="2096"/>
      <c s="2096"/>
      <c s="2096"/>
      <c s="2096"/>
      <c s="2096"/>
      <c s="2096"/>
      <c s="2096"/>
      <c s="2096"/>
      <c s="2096"/>
      <c s="2096"/>
      <c s="2096"/>
      <c s="2096"/>
      <c s="2096"/>
      <c s="2096"/>
      <c s="2096"/>
      <c s="2096"/>
      <c s="2096"/>
      <c s="2096"/>
      <c s="2096"/>
      <c s="2096"/>
      <c s="2096"/>
      <c s="1703"/>
      <c s="1705"/>
      <c s="1703"/>
    </row>
    <row r="17" spans="1:28" ht="14.25" customHeight="1">
      <c r="A17" s="1703"/>
      <c s="1703"/>
      <c s="1703"/>
      <c s="1703"/>
      <c s="1703"/>
      <c s="1703"/>
      <c s="1703"/>
      <c s="1703"/>
      <c s="1703"/>
      <c s="1703"/>
      <c s="1703"/>
      <c s="1703"/>
      <c s="1703"/>
      <c s="1703"/>
      <c s="1703"/>
      <c s="1703"/>
      <c s="1703"/>
      <c s="1703"/>
      <c s="1703"/>
      <c s="1703"/>
      <c s="1703"/>
      <c s="1703"/>
      <c s="1703"/>
      <c s="1703"/>
      <c s="1704"/>
      <c s="1703"/>
      <c s="1705"/>
      <c s="1703"/>
    </row>
    <row r="18" spans="1:28" ht="14.25" customHeight="1">
      <c r="A18" s="1703"/>
      <c s="1703"/>
      <c s="1703"/>
      <c s="1703"/>
      <c s="1703"/>
      <c s="1703"/>
      <c s="1703"/>
      <c s="1703"/>
      <c s="1703"/>
      <c s="1703"/>
      <c s="1703"/>
      <c s="1703"/>
      <c s="1703"/>
      <c s="1703"/>
      <c s="1703"/>
      <c s="1703"/>
      <c s="1703"/>
      <c s="1703"/>
      <c s="1703"/>
      <c s="1703"/>
      <c s="1703"/>
      <c s="1703"/>
      <c s="1703"/>
      <c s="1703"/>
      <c s="1704"/>
      <c s="1703"/>
      <c s="1705"/>
      <c s="1703"/>
    </row>
    <row r="19" spans="1:28" ht="14.25" customHeight="1">
      <c r="A19" s="1703"/>
      <c s="1703"/>
      <c s="1703"/>
      <c s="1703"/>
      <c s="1703"/>
      <c s="1703"/>
      <c s="1703"/>
      <c s="1703"/>
      <c s="1703"/>
      <c s="1703"/>
      <c s="1703"/>
      <c s="1703"/>
      <c s="1703"/>
      <c s="1703"/>
      <c s="1703"/>
      <c s="1703"/>
      <c s="1703"/>
      <c s="1703"/>
      <c s="1703"/>
      <c s="1703"/>
      <c s="1703"/>
      <c s="1703"/>
      <c s="1703"/>
      <c s="1703"/>
      <c s="1704"/>
      <c s="1703"/>
      <c s="1705"/>
      <c s="1703"/>
    </row>
    <row r="20" spans="1:28" ht="14.25" customHeight="1">
      <c r="A20" s="1703"/>
      <c s="1703"/>
      <c s="1703"/>
      <c s="1703"/>
      <c s="1703"/>
      <c s="1703"/>
      <c s="1703"/>
      <c s="1703"/>
      <c s="1703"/>
      <c s="1703"/>
      <c s="1703"/>
      <c s="1703"/>
      <c s="1703"/>
      <c s="1703"/>
      <c s="1703"/>
      <c s="1703"/>
      <c s="1703"/>
      <c s="1703"/>
      <c s="1703"/>
      <c s="1703"/>
      <c s="1703"/>
      <c s="1703"/>
      <c s="1703"/>
      <c s="1703"/>
      <c s="1704"/>
      <c s="1703"/>
      <c s="1705"/>
      <c s="1703"/>
    </row>
    <row r="21" spans="1:28" ht="14.25" customHeight="1">
      <c r="A21" s="1703"/>
      <c s="1703"/>
      <c s="1703"/>
      <c s="1703"/>
      <c s="1703"/>
      <c s="1703"/>
      <c s="1703"/>
      <c s="1703"/>
      <c s="1703"/>
      <c s="1703"/>
      <c s="1703"/>
      <c s="1703"/>
      <c s="1703"/>
      <c s="1703"/>
      <c s="1703"/>
      <c s="1703"/>
      <c s="1703"/>
      <c s="1703"/>
      <c s="1703"/>
      <c s="1703"/>
      <c s="1703"/>
      <c s="1703"/>
      <c s="1703"/>
      <c s="1703"/>
      <c s="1704"/>
      <c s="1703"/>
      <c s="1705"/>
      <c s="170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A65CF6A-A823-DAFC-9759-0.6EF54178}" mc:Ignorable="x14ac xr xr2 xr3">
  <sheetPr>
    <tabColor rgb="FFCCCCFF"/>
  </sheetPr>
  <dimension ref="A1:Q79"/>
  <sheetViews>
    <sheetView showGridLines="0" tabSelected="1" zoomScale="90" zoomScaleNormal="90" workbookViewId="0" topLeftCell="C1">
      <selection pane="topLeft" activeCell="F31" sqref="F31"/>
    </sheetView>
  </sheetViews>
  <sheetFormatPr defaultColWidth="9.14428571428571" defaultRowHeight="11.25" customHeight="1"/>
  <cols>
    <col min="1" max="1" width="10.7142857142857" style="789" hidden="1" customWidth="1"/>
    <col min="2" max="2" width="10.7142857142857" style="734" hidden="1" customWidth="1"/>
    <col min="3" max="3" width="3" style="532" customWidth="1"/>
    <col min="4" max="4" width="1" style="1637" customWidth="1"/>
    <col min="5" max="6" width="55" style="1637" customWidth="1"/>
    <col min="7" max="7" width="1" style="2127" customWidth="1"/>
    <col min="8" max="8" width="18" style="1637" hidden="1" customWidth="1"/>
    <col min="9" max="9" width="59" style="533" customWidth="1"/>
    <col min="10" max="10" width="52.1428571428571" style="1368" hidden="1" customWidth="1"/>
    <col min="11" max="11" width="8" style="1637" customWidth="1"/>
    <col min="12" max="12" width="77" style="1637" customWidth="1"/>
    <col min="13" max="16" width="8" style="1637" customWidth="1"/>
    <col min="17" max="17" width="12" style="1637" hidden="1" customWidth="1"/>
  </cols>
  <sheetData>
    <row r="1" spans="1:17" s="624" customFormat="1" ht="3" customHeight="1">
      <c r="A1" s="785"/>
      <c s="243"/>
      <c r="F1" s="244" t="s">
        <v>13</v>
      </c>
      <c s="413"/>
      <c s="73"/>
      <c s="413"/>
      <c s="873"/>
      <c r="Q1" s="244" t="s">
        <v>14</v>
      </c>
    </row>
    <row r="2" spans="1:17" s="1634" customFormat="1" ht="14.25" customHeight="1">
      <c r="A2" s="785"/>
      <c s="100"/>
      <c r="E2" s="1742" t="str">
        <f>code</f>
        <v>Код отчёта: PP108.OPEN.INFO.QUARTER.VOTV.EIAS</v>
      </c>
      <c s="271"/>
      <c s="247"/>
      <c s="247"/>
      <c s="247"/>
      <c s="874"/>
      <c s="247"/>
      <c r="Q2" s="73">
        <v>14</v>
      </c>
    </row>
    <row r="3" spans="5:17" ht="14.7" customHeight="1">
      <c r="E3" s="248" t="str">
        <f>version</f>
        <v>Версия отчёта: 1.1.1</v>
      </c>
      <c s="271"/>
      <c s="772"/>
      <c s="772"/>
      <c s="772"/>
      <c s="875"/>
      <c s="90"/>
      <c r="Q3" s="76">
        <v>14</v>
      </c>
    </row>
    <row r="4" spans="1:17" s="1614" customFormat="1" ht="6.3" customHeight="1">
      <c r="A4" s="786"/>
      <c s="234"/>
      <c s="235"/>
      <c s="236"/>
      <c s="245"/>
      <c s="246"/>
      <c s="773"/>
      <c s="411"/>
      <c s="413"/>
      <c s="876"/>
      <c r="Q4" s="238">
        <v>6</v>
      </c>
    </row>
    <row r="5" spans="4:17" ht="39.75" customHeight="1">
      <c r="D5" s="77"/>
      <c s="2097"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98"/>
      <c s="774"/>
      <c r="J5" s="877"/>
      <c r="Q5" s="76">
        <v>38</v>
      </c>
    </row>
    <row r="6" spans="1:17" s="1614" customFormat="1" ht="6.3" customHeight="1">
      <c r="A6" s="786"/>
      <c s="234"/>
      <c s="235"/>
      <c s="236"/>
      <c s="239"/>
      <c s="240"/>
      <c s="774"/>
      <c s="411"/>
      <c s="413"/>
      <c s="876"/>
      <c r="Q6" s="238">
        <v>6</v>
      </c>
    </row>
    <row r="7" spans="4:17" ht="21" customHeight="1">
      <c r="D7" s="77"/>
      <c s="393" t="s">
        <v>15</v>
      </c>
      <c s="217" t="s">
        <v>16</v>
      </c>
      <c s="774"/>
      <c r="Q7" s="76">
        <v>20</v>
      </c>
    </row>
    <row r="8" spans="1:17" s="1614" customFormat="1" ht="6.3" customHeight="1">
      <c r="A8" s="787"/>
      <c s="234"/>
      <c s="235"/>
      <c s="241"/>
      <c s="239"/>
      <c s="242"/>
      <c s="79"/>
      <c s="411"/>
      <c s="413"/>
      <c s="879"/>
      <c r="Q8" s="238">
        <v>6</v>
      </c>
    </row>
    <row r="9" spans="1:17" s="1637" customFormat="1" ht="19.5" customHeight="1" hidden="1">
      <c r="A9" s="786"/>
      <c s="100"/>
      <c s="410"/>
      <c s="412"/>
      <c s="1167" t="s">
        <v>17</v>
      </c>
      <c s="1923"/>
      <c s="774"/>
      <c r="I9" s="1902" t="str">
        <f>IF(TITLE_STRUCTURE_INFO_ROIV="","","раскрывается "&amp;INDEX(ROIV_INFO_COMMENT,MATCH(TITLE_STRUCTURE_INFO_ROIV,ROIV_INFO_LIST,0)))</f>
        <v/>
      </c>
      <c s="878"/>
      <c r="Q9" s="411">
        <v>0</v>
      </c>
    </row>
    <row r="10" spans="1:17" s="1614" customFormat="1" ht="24" customHeight="1" hidden="1">
      <c r="A10" s="787"/>
      <c s="428"/>
      <c s="429"/>
      <c s="241"/>
      <c s="1167" t="s">
        <v>18</v>
      </c>
      <c s="2068" t="s">
        <v>19</v>
      </c>
      <c s="79"/>
      <c s="411"/>
      <c s="413"/>
      <c s="879"/>
      <c r="Q10" s="432">
        <v>24</v>
      </c>
    </row>
    <row r="11" spans="1:17" ht="22.5" customHeight="1" hidden="1">
      <c r="A11" s="2100" t="s">
        <v>20</v>
      </c>
      <c r="D11" s="77"/>
      <c s="1167" t="s">
        <v>21</v>
      </c>
      <c s="1734" t="s">
        <v>22</v>
      </c>
      <c s="79"/>
      <c s="775" t="s">
        <v>23</v>
      </c>
      <c r="J11" s="878" t="s">
        <v>24</v>
      </c>
      <c r="Q11" s="76">
        <v>0</v>
      </c>
    </row>
    <row r="12" spans="1:17" ht="22.5" customHeight="1" hidden="1">
      <c r="A12" s="2100"/>
      <c r="D12" s="77"/>
      <c s="1167" t="s">
        <v>25</v>
      </c>
      <c s="1734"/>
      <c s="75"/>
      <c r="J12" s="878" t="s">
        <v>26</v>
      </c>
      <c r="Q12" s="76">
        <v>0</v>
      </c>
    </row>
    <row r="13" spans="1:17" s="1637" customFormat="1" ht="22.5" customHeight="1" hidden="1">
      <c r="A13" s="790" t="s">
        <v>27</v>
      </c>
      <c s="100"/>
      <c s="410"/>
      <c s="412"/>
      <c s="1777" t="s">
        <v>28</v>
      </c>
      <c s="1734" t="s">
        <v>22</v>
      </c>
      <c s="79"/>
      <c s="772"/>
      <c s="413"/>
      <c s="1778" t="s">
        <v>29</v>
      </c>
      <c r="Q13" s="411">
        <v>0</v>
      </c>
    </row>
    <row r="14" spans="1:17" s="1637" customFormat="1" ht="27" customHeight="1">
      <c r="A14" s="790" t="s">
        <v>30</v>
      </c>
      <c s="100"/>
      <c s="410"/>
      <c s="412"/>
      <c s="1167" t="s">
        <v>31</v>
      </c>
      <c s="1769">
        <v>2025</v>
      </c>
      <c s="79"/>
      <c s="772"/>
      <c s="413"/>
      <c s="878" t="s">
        <v>32</v>
      </c>
      <c r="Q14" s="411">
        <v>0</v>
      </c>
    </row>
    <row r="15" spans="1:17" s="1637" customFormat="1" ht="19.5" customHeight="1">
      <c r="A15" s="790" t="s">
        <v>33</v>
      </c>
      <c s="100"/>
      <c s="410"/>
      <c s="412"/>
      <c s="1167" t="s">
        <v>34</v>
      </c>
      <c s="1769" t="s">
        <v>35</v>
      </c>
      <c s="79"/>
      <c s="772"/>
      <c s="413"/>
      <c s="878" t="s">
        <v>36</v>
      </c>
      <c r="Q15" s="411">
        <v>0</v>
      </c>
    </row>
    <row r="16" spans="1:17" s="1614" customFormat="1" ht="6.3" customHeight="1">
      <c r="A16" s="787"/>
      <c s="234"/>
      <c s="235"/>
      <c s="241"/>
      <c s="239"/>
      <c s="242"/>
      <c s="79"/>
      <c s="411"/>
      <c s="413"/>
      <c s="876"/>
      <c r="Q16" s="238">
        <v>6</v>
      </c>
    </row>
    <row r="17" spans="4:17" ht="21" customHeight="1">
      <c r="D17" s="77"/>
      <c s="393" t="s">
        <v>37</v>
      </c>
      <c s="218" t="s">
        <v>38</v>
      </c>
      <c s="75"/>
      <c s="775" t="s">
        <v>23</v>
      </c>
      <c r="Q17" s="76">
        <v>20</v>
      </c>
    </row>
    <row r="18" spans="4:17" ht="25.5" customHeight="1" hidden="1">
      <c r="D18" s="77"/>
      <c s="1777" t="s">
        <v>39</v>
      </c>
      <c s="1735"/>
      <c s="75"/>
      <c r="I18" s="776"/>
      <c s="2099" t="s">
        <v>40</v>
      </c>
      <c r="Q18" s="76">
        <v>0</v>
      </c>
    </row>
    <row r="19" spans="4:17" ht="25.5" customHeight="1" hidden="1">
      <c r="D19" s="77"/>
      <c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5"/>
      <c s="75"/>
      <c r="I19" s="776"/>
      <c s="2099"/>
      <c r="Q19" s="76">
        <v>0</v>
      </c>
    </row>
    <row r="20" spans="4:17" ht="22.5" customHeight="1" hidden="1">
      <c r="D20" s="77"/>
      <c s="78"/>
      <c s="272" t="str">
        <f>"Первичное "&amp;IF(TEMPLATE_GROUP="P","установление тарифов","предложение по тарифам")</f>
        <v>Первичное предложение по тарифам</v>
      </c>
      <c s="75"/>
      <c r="I20" s="396"/>
      <c s="877" t="s">
        <v>41</v>
      </c>
      <c r="Q20" s="76">
        <v>0</v>
      </c>
    </row>
    <row r="21" spans="4:17" ht="19.5" customHeight="1" hidden="1">
      <c r="D21" s="77"/>
      <c s="393" t="str">
        <f>"Дата "&amp;IF(TEMPLATE_GROUP="P","документа","подачи заявления")&amp;" об утверждении тарифов"</f>
        <v>Дата подачи заявления об утверждении тарифов</v>
      </c>
      <c s="1734"/>
      <c s="75"/>
      <c r="I21" s="777"/>
      <c r="Q21" s="76">
        <v>0</v>
      </c>
    </row>
    <row r="22" spans="4:17" ht="19.5" customHeight="1" hidden="1">
      <c r="D22" s="77"/>
      <c s="393" t="str">
        <f>"Номер "&amp;IF(TEMPLATE_GROUP="P","документа","подачи заявления")&amp;" об утверждении тарифов"</f>
        <v>Номер подачи заявления об утверждении тарифов</v>
      </c>
      <c s="218"/>
      <c s="75"/>
      <c r="I22" s="777"/>
      <c r="Q22" s="76">
        <v>0</v>
      </c>
    </row>
    <row r="23" spans="4:17" ht="22.5" customHeight="1" hidden="1">
      <c r="D23" s="77"/>
      <c s="393" t="s">
        <v>42</v>
      </c>
      <c s="218"/>
      <c s="75"/>
      <c r="Q23" s="76">
        <v>0</v>
      </c>
    </row>
    <row r="24" spans="4:17" ht="19.5" customHeight="1" hidden="1">
      <c r="D24" s="77"/>
      <c s="393" t="s">
        <v>43</v>
      </c>
      <c s="218"/>
      <c s="75"/>
      <c r="Q24" s="76">
        <v>0</v>
      </c>
    </row>
    <row r="25" spans="4:17" ht="22.5" customHeight="1" hidden="1">
      <c r="D25" s="77"/>
      <c s="78"/>
      <c s="272" t="str">
        <f>"Изменение "&amp;IF(TEMPLATE_GROUP="P","тарифов","предложения по тарифам")</f>
        <v>Изменение предложения по тарифам</v>
      </c>
      <c s="75"/>
      <c r="J25" s="877" t="s">
        <v>44</v>
      </c>
      <c r="Q25" s="76">
        <v>0</v>
      </c>
    </row>
    <row r="26" spans="4:17" ht="19.5" customHeight="1" hidden="1">
      <c r="D26" s="77"/>
      <c s="393" t="str">
        <f>"Дата "&amp;IF(TEMPLATE_GROUP="P","принятия решения","подачи заявления")&amp;" об изменении тарифов"</f>
        <v>Дата подачи заявления об изменении тарифов</v>
      </c>
      <c s="1735"/>
      <c s="75"/>
      <c r="Q26" s="76">
        <v>0</v>
      </c>
    </row>
    <row r="27" spans="4:17" ht="19.5" customHeight="1" hidden="1">
      <c r="D27" s="77"/>
      <c s="1167" t="str">
        <f>"Номер "&amp;IF(TEMPLATE_GROUP="P","принятия решения","заявления")&amp;" об изменении тарифов"</f>
        <v>Номер заявления об изменении тарифов</v>
      </c>
      <c s="220"/>
      <c s="75"/>
      <c r="Q27" s="76">
        <v>0</v>
      </c>
    </row>
    <row r="28" spans="4:17" ht="24.75" customHeight="1" hidden="1">
      <c r="D28" s="77"/>
      <c s="393" t="s">
        <v>45</v>
      </c>
      <c s="220"/>
      <c s="75"/>
      <c r="Q28" s="76">
        <v>0</v>
      </c>
    </row>
    <row r="29" spans="4:17" ht="19.5" customHeight="1" hidden="1">
      <c r="D29" s="77"/>
      <c s="393" t="s">
        <v>43</v>
      </c>
      <c s="220"/>
      <c s="75"/>
      <c r="Q29" s="76">
        <v>0</v>
      </c>
    </row>
    <row r="30" spans="1:17" s="1614" customFormat="1" ht="6.3" customHeight="1">
      <c r="A30" s="787"/>
      <c s="234"/>
      <c s="235"/>
      <c s="241"/>
      <c s="239"/>
      <c s="242"/>
      <c s="79"/>
      <c s="411"/>
      <c s="413"/>
      <c s="876"/>
      <c r="Q30" s="238">
        <v>6</v>
      </c>
    </row>
    <row r="31" spans="3:17" ht="21" customHeight="1">
      <c r="C31" s="80"/>
      <c s="81"/>
      <c s="393" t="str">
        <f>"Наименование "&amp;IF(TEMPLATE_GROUP="ROIV","органа тарифного регулирования","ЮЛ / ИП")</f>
        <v>Наименование ЮЛ / ИП</v>
      </c>
      <c s="219" t="s">
        <v>46</v>
      </c>
      <c s="778"/>
      <c r="Q31" s="76">
        <v>20</v>
      </c>
    </row>
    <row r="32" spans="3:17" ht="21" customHeight="1" hidden="1">
      <c r="C32" s="80"/>
      <c s="81"/>
      <c s="394" t="s">
        <v>47</v>
      </c>
      <c s="219"/>
      <c s="778"/>
      <c r="Q32" s="76">
        <v>20</v>
      </c>
    </row>
    <row r="33" spans="3:17" ht="21" customHeight="1">
      <c r="C33" s="80"/>
      <c s="81"/>
      <c s="393" t="s">
        <v>48</v>
      </c>
      <c s="219" t="s">
        <v>49</v>
      </c>
      <c s="778"/>
      <c r="Q33" s="76">
        <v>20</v>
      </c>
    </row>
    <row r="34" spans="3:17" ht="21" customHeight="1">
      <c r="C34" s="80"/>
      <c s="81"/>
      <c s="393" t="s">
        <v>50</v>
      </c>
      <c s="219" t="s">
        <v>51</v>
      </c>
      <c s="778"/>
      <c s="82"/>
      <c r="Q34" s="76">
        <v>20</v>
      </c>
    </row>
    <row r="35" spans="1:17" s="1614" customFormat="1" ht="11.55" customHeight="1">
      <c r="A35" s="787"/>
      <c s="234"/>
      <c s="235"/>
      <c s="241"/>
      <c s="239"/>
      <c s="242"/>
      <c s="79"/>
      <c s="411"/>
      <c s="413"/>
      <c s="876"/>
      <c r="Q35" s="238">
        <v>11</v>
      </c>
    </row>
    <row r="36" spans="1:17" ht="19.5" customHeight="1" hidden="1">
      <c r="A36" s="881"/>
      <c r="D36" s="81"/>
      <c s="393" t="s">
        <v>52</v>
      </c>
      <c s="350"/>
      <c s="79"/>
      <c r="Q36" s="76">
        <v>0</v>
      </c>
    </row>
    <row r="37" spans="1:17" ht="21" customHeight="1">
      <c r="A37" s="881"/>
      <c r="D37" s="81"/>
      <c s="393" t="s">
        <v>53</v>
      </c>
      <c s="1212" t="s">
        <v>54</v>
      </c>
      <c s="79"/>
      <c r="Q37" s="76">
        <v>20</v>
      </c>
    </row>
    <row r="38" spans="1:17" s="1614" customFormat="1" ht="6.3" customHeight="1">
      <c r="A38" s="787"/>
      <c s="234"/>
      <c s="235"/>
      <c s="236"/>
      <c s="237"/>
      <c s="1055"/>
      <c s="75"/>
      <c s="411"/>
      <c s="413"/>
      <c s="878"/>
      <c r="Q38" s="238">
        <v>6</v>
      </c>
    </row>
    <row r="39" spans="1:17" ht="36.75" customHeight="1">
      <c r="A39" s="787"/>
      <c r="D39" s="77"/>
      <c s="393" t="s">
        <v>55</v>
      </c>
      <c s="712" t="s">
        <v>19</v>
      </c>
      <c s="75"/>
      <c s="775" t="s">
        <v>23</v>
      </c>
      <c r="Q39" s="76">
        <v>35</v>
      </c>
    </row>
    <row r="40" spans="1:17" s="1614" customFormat="1" ht="6" customHeight="1" hidden="1">
      <c r="A40" s="786"/>
      <c s="428"/>
      <c s="429"/>
      <c s="430"/>
      <c s="431"/>
      <c s="1055"/>
      <c s="75"/>
      <c s="411"/>
      <c s="413"/>
      <c s="878"/>
      <c r="Q40" s="432">
        <v>6</v>
      </c>
    </row>
    <row r="41" spans="1:17" s="1637" customFormat="1" ht="26.25" customHeight="1" hidden="1">
      <c r="A41" s="790" t="s">
        <v>27</v>
      </c>
      <c s="415"/>
      <c s="410"/>
      <c s="412"/>
      <c s="393" t="str">
        <f>"Дифференциация информации по централизованным системам  "&amp;TEMPLATE_SPHERE_RUS</f>
        <v>Дифференциация информации по централизованным системам  водоотведения</v>
      </c>
      <c s="712" t="s">
        <v>19</v>
      </c>
      <c s="75"/>
      <c r="I41" s="413"/>
      <c s="878"/>
      <c r="Q41" s="411">
        <v>0</v>
      </c>
    </row>
    <row r="42" spans="1:17" s="1614" customFormat="1" ht="6" customHeight="1" hidden="1">
      <c r="A42" s="786"/>
      <c s="428"/>
      <c s="429"/>
      <c s="430"/>
      <c s="431"/>
      <c s="1055"/>
      <c s="75"/>
      <c s="411"/>
      <c s="413"/>
      <c s="876"/>
      <c r="Q42" s="432">
        <v>0</v>
      </c>
    </row>
    <row r="43" spans="1:17" s="1637" customFormat="1" ht="27" customHeight="1" hidden="1">
      <c r="A43" s="786"/>
      <c s="415"/>
      <c s="410"/>
      <c s="412"/>
      <c s="393" t="s">
        <v>56</v>
      </c>
      <c s="712" t="s">
        <v>19</v>
      </c>
      <c s="75"/>
      <c r="I43" s="413"/>
      <c s="878"/>
      <c r="Q43" s="411">
        <v>0</v>
      </c>
    </row>
    <row r="44" spans="1:17" s="1637" customFormat="1" ht="27" customHeight="1" hidden="1">
      <c r="A44" s="786"/>
      <c s="415"/>
      <c s="410"/>
      <c s="412"/>
      <c s="1167" t="s">
        <v>57</v>
      </c>
      <c s="1890"/>
      <c s="75"/>
      <c r="I44" s="413"/>
      <c s="878"/>
      <c r="Q44" s="411">
        <v>0</v>
      </c>
    </row>
    <row r="45" spans="1:17" s="1614" customFormat="1" ht="6" customHeight="1" hidden="1">
      <c r="A45" s="786"/>
      <c s="428"/>
      <c s="429"/>
      <c s="430"/>
      <c s="431"/>
      <c s="1055"/>
      <c s="75"/>
      <c s="411"/>
      <c s="413"/>
      <c s="878"/>
      <c r="Q45" s="432">
        <v>0</v>
      </c>
    </row>
    <row r="46" spans="1:17" s="1614" customFormat="1" ht="24.75" customHeight="1" hidden="1">
      <c r="A46" s="786"/>
      <c s="428"/>
      <c s="429"/>
      <c s="430"/>
      <c s="1167" t="s">
        <v>58</v>
      </c>
      <c s="712" t="s">
        <v>19</v>
      </c>
      <c s="75"/>
      <c s="411"/>
      <c s="413"/>
      <c s="878"/>
      <c r="Q46" s="432">
        <v>0</v>
      </c>
    </row>
    <row r="47" spans="1:17" s="1637" customFormat="1" ht="24.75" customHeight="1" hidden="1">
      <c r="A47" s="786"/>
      <c s="415"/>
      <c s="410"/>
      <c s="412"/>
      <c s="1167" t="s">
        <v>59</v>
      </c>
      <c s="712" t="s">
        <v>19</v>
      </c>
      <c s="75"/>
      <c r="I47" s="413"/>
      <c s="878"/>
      <c r="Q47" s="411">
        <v>0</v>
      </c>
    </row>
    <row r="48" spans="1:17" s="1614" customFormat="1" ht="6" customHeight="1" hidden="1">
      <c r="A48" s="786"/>
      <c s="234"/>
      <c s="235"/>
      <c s="236"/>
      <c s="237"/>
      <c s="1055"/>
      <c s="75"/>
      <c s="411"/>
      <c s="413"/>
      <c s="878"/>
      <c r="Q48" s="238">
        <v>0</v>
      </c>
    </row>
    <row r="49" spans="2:17" ht="29.25" customHeight="1" hidden="1">
      <c r="B49" s="150"/>
      <c r="D49" s="77"/>
      <c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712"/>
      <c s="75"/>
      <c r="Q49" s="76">
        <v>0</v>
      </c>
    </row>
    <row r="50" spans="1:17" s="1614" customFormat="1" ht="6" customHeight="1" hidden="1">
      <c r="A50" s="787"/>
      <c s="428"/>
      <c s="429"/>
      <c s="241"/>
      <c s="239"/>
      <c s="242"/>
      <c s="79"/>
      <c s="411"/>
      <c s="413"/>
      <c s="878"/>
      <c r="Q50" s="432">
        <v>0</v>
      </c>
    </row>
    <row r="51" spans="1:17" s="1637" customFormat="1" ht="28.5" customHeight="1" hidden="1">
      <c r="A51" s="788"/>
      <c s="415"/>
      <c s="532"/>
      <c s="533"/>
      <c s="393" t="s">
        <v>60</v>
      </c>
      <c s="712" t="s">
        <v>19</v>
      </c>
      <c s="534"/>
      <c r="I51" s="536"/>
      <c s="880"/>
      <c r="P51" s="537"/>
      <c s="535">
        <v>0</v>
      </c>
    </row>
    <row r="52" spans="1:17" s="1614" customFormat="1" ht="6" customHeight="1" hidden="1">
      <c r="A52" s="787"/>
      <c s="428"/>
      <c s="429"/>
      <c s="241"/>
      <c s="239"/>
      <c s="242"/>
      <c s="79"/>
      <c s="411"/>
      <c s="413"/>
      <c s="876"/>
      <c r="Q52" s="432">
        <v>0</v>
      </c>
    </row>
    <row r="53" spans="1:17" s="1637" customFormat="1" ht="27" customHeight="1" hidden="1">
      <c r="A53" s="788"/>
      <c s="415"/>
      <c s="532"/>
      <c s="533"/>
      <c s="393" t="s">
        <v>61</v>
      </c>
      <c s="1050" t="s">
        <v>19</v>
      </c>
      <c s="534"/>
      <c r="I53" s="536"/>
      <c s="880"/>
      <c r="P53" s="537"/>
      <c s="535">
        <v>0</v>
      </c>
    </row>
    <row r="54" spans="1:17" s="1637" customFormat="1" ht="27" customHeight="1" hidden="1">
      <c r="A54" s="788"/>
      <c s="415"/>
      <c s="532"/>
      <c s="533"/>
      <c s="393" t="s">
        <v>62</v>
      </c>
      <c s="1776"/>
      <c s="534"/>
      <c r="I54" s="536"/>
      <c s="880"/>
      <c r="P54" s="537"/>
      <c s="535">
        <v>0</v>
      </c>
    </row>
    <row r="55" spans="1:17" s="1614" customFormat="1" ht="6" customHeight="1" hidden="1">
      <c r="A55" s="787"/>
      <c s="428"/>
      <c s="429"/>
      <c s="241"/>
      <c s="239"/>
      <c s="242"/>
      <c s="79"/>
      <c s="411"/>
      <c s="413"/>
      <c s="876"/>
      <c r="Q55" s="432">
        <v>0</v>
      </c>
    </row>
    <row r="56" spans="1:17" s="1637" customFormat="1" ht="25.5" customHeight="1" hidden="1">
      <c r="A56" s="788"/>
      <c s="415"/>
      <c s="532"/>
      <c s="533"/>
      <c s="393" t="s">
        <v>63</v>
      </c>
      <c s="1050" t="s">
        <v>19</v>
      </c>
      <c s="534"/>
      <c r="I56" s="536"/>
      <c s="880"/>
      <c r="P56" s="537"/>
      <c s="535">
        <v>0</v>
      </c>
    </row>
    <row r="57" spans="1:17" s="1614" customFormat="1" ht="6" customHeight="1" hidden="1">
      <c r="A57" s="787"/>
      <c s="428"/>
      <c s="429"/>
      <c s="241"/>
      <c s="239"/>
      <c s="242"/>
      <c s="79"/>
      <c s="411"/>
      <c s="413"/>
      <c s="876"/>
      <c r="Q57" s="432">
        <v>0</v>
      </c>
    </row>
    <row r="58" spans="1:17" s="1637" customFormat="1" ht="15" customHeight="1" hidden="1">
      <c r="A58" s="788"/>
      <c s="415"/>
      <c s="532"/>
      <c s="533"/>
      <c s="393" t="s">
        <v>64</v>
      </c>
      <c s="1050" t="s">
        <v>65</v>
      </c>
      <c s="534"/>
      <c r="I58" s="536"/>
      <c s="880"/>
      <c r="P58" s="537"/>
      <c s="535">
        <v>0</v>
      </c>
    </row>
    <row r="59" spans="1:17" s="1637" customFormat="1" ht="75" customHeight="1" hidden="1">
      <c r="A59" s="788"/>
      <c s="415"/>
      <c s="532"/>
      <c s="533"/>
      <c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1191"/>
      <c s="534"/>
      <c r="I59" s="536"/>
      <c s="880"/>
      <c r="P59" s="537"/>
      <c s="535">
        <v>0</v>
      </c>
    </row>
    <row r="60" spans="1:17" s="1637" customFormat="1" ht="15" customHeight="1" hidden="1">
      <c r="A60" s="788"/>
      <c s="415"/>
      <c s="532"/>
      <c s="533"/>
      <c s="1167" t="s">
        <v>66</v>
      </c>
      <c s="1153"/>
      <c s="534"/>
      <c r="I60" s="536"/>
      <c s="880"/>
      <c r="P60" s="537"/>
      <c s="535">
        <v>0</v>
      </c>
    </row>
    <row r="61" spans="1:17" s="1614" customFormat="1" ht="6" customHeight="1" hidden="1">
      <c r="A61" s="787"/>
      <c s="428"/>
      <c s="429"/>
      <c s="430"/>
      <c s="431"/>
      <c s="1055"/>
      <c s="75"/>
      <c s="411"/>
      <c s="413"/>
      <c s="878"/>
      <c r="Q61" s="432">
        <v>0</v>
      </c>
    </row>
    <row r="62" spans="1:17" s="1637" customFormat="1" ht="33.75" customHeight="1" hidden="1">
      <c r="A62" s="787"/>
      <c s="100"/>
      <c s="410"/>
      <c s="412"/>
      <c s="1167" t="s">
        <v>67</v>
      </c>
      <c s="1673" t="s">
        <v>65</v>
      </c>
      <c s="75"/>
      <c s="775" t="s">
        <v>23</v>
      </c>
      <c s="413"/>
      <c s="878"/>
      <c r="Q62" s="411">
        <v>0</v>
      </c>
    </row>
    <row r="63" spans="1:17" s="1614" customFormat="1" ht="6.3" customHeight="1">
      <c r="A63" s="787"/>
      <c s="234"/>
      <c s="235"/>
      <c s="241"/>
      <c s="239"/>
      <c s="242"/>
      <c s="79"/>
      <c s="411"/>
      <c s="413"/>
      <c s="876"/>
      <c r="Q63" s="238">
        <v>6</v>
      </c>
    </row>
    <row r="64" spans="1:17" ht="21" customHeight="1">
      <c r="A64" s="789"/>
      <c s="101"/>
      <c r="D64" s="84"/>
      <c s="393" t="s">
        <v>68</v>
      </c>
      <c s="218" t="s">
        <v>69</v>
      </c>
      <c s="79"/>
      <c r="Q64" s="76">
        <v>20</v>
      </c>
    </row>
    <row r="65" spans="1:17" ht="21" customHeight="1">
      <c r="A65" s="789"/>
      <c s="101"/>
      <c r="D65" s="84"/>
      <c s="393" t="s">
        <v>70</v>
      </c>
      <c s="218" t="s">
        <v>71</v>
      </c>
      <c s="79"/>
      <c r="Q65" s="76">
        <v>20</v>
      </c>
    </row>
    <row r="66" spans="4:17" ht="36.75" customHeight="1">
      <c r="D66" s="77"/>
      <c s="395" t="s">
        <v>72</v>
      </c>
      <c s="1056"/>
      <c s="75"/>
      <c r="Q66" s="76">
        <v>35</v>
      </c>
    </row>
    <row r="67" spans="1:17" ht="21" customHeight="1">
      <c r="A67" s="789"/>
      <c r="D67" s="412"/>
      <c s="393" t="s">
        <v>73</v>
      </c>
      <c s="273" t="s">
        <v>74</v>
      </c>
      <c s="79"/>
      <c r="Q67" s="76">
        <v>20</v>
      </c>
    </row>
    <row r="68" spans="1:17" ht="21" customHeight="1">
      <c r="A68" s="789"/>
      <c s="101"/>
      <c r="D68" s="84"/>
      <c s="393" t="s">
        <v>75</v>
      </c>
      <c s="273" t="s">
        <v>76</v>
      </c>
      <c s="79"/>
      <c r="Q68" s="76">
        <v>20</v>
      </c>
    </row>
    <row r="69" spans="1:17" ht="21" customHeight="1">
      <c r="A69" s="789"/>
      <c s="101"/>
      <c r="D69" s="84"/>
      <c s="393" t="s">
        <v>77</v>
      </c>
      <c s="273" t="s">
        <v>78</v>
      </c>
      <c s="79"/>
      <c r="Q69" s="76">
        <v>20</v>
      </c>
    </row>
    <row r="70" spans="4:17" ht="21" customHeight="1">
      <c r="D70" s="412"/>
      <c s="393" t="s">
        <v>79</v>
      </c>
      <c s="273" t="s">
        <v>80</v>
      </c>
      <c s="75"/>
      <c r="Q70" s="76">
        <v>20</v>
      </c>
    </row>
    <row r="71" spans="1:17" ht="21" customHeight="1">
      <c r="A71" s="789"/>
      <c r="D71" s="75"/>
      <c r="F71" s="135"/>
      <c s="79"/>
      <c r="Q71" s="76">
        <v>20</v>
      </c>
    </row>
    <row r="72" spans="1:17" ht="21" customHeight="1">
      <c r="A72" s="789"/>
      <c s="101"/>
      <c r="D72" s="84"/>
      <c s="83"/>
      <c s="1035" t="s">
        <v>13</v>
      </c>
      <c s="79"/>
      <c r="Q72" s="76">
        <v>20</v>
      </c>
    </row>
    <row r="73" spans="1:17" ht="21" customHeight="1">
      <c r="A73" s="789"/>
      <c s="101"/>
      <c r="D73" s="84"/>
      <c s="83"/>
      <c s="136"/>
      <c s="79"/>
      <c r="Q73" s="76">
        <v>20</v>
      </c>
    </row>
    <row r="74" spans="1:17" ht="21" customHeight="1">
      <c r="A74" s="789"/>
      <c s="101"/>
      <c r="D74" s="84"/>
      <c s="88"/>
      <c s="136"/>
      <c s="79"/>
      <c r="Q74" s="76">
        <v>20</v>
      </c>
    </row>
    <row r="75" spans="1:17" ht="21" customHeight="1">
      <c r="A75" s="789"/>
      <c s="101"/>
      <c r="D75" s="84"/>
      <c s="83"/>
      <c s="136"/>
      <c s="79"/>
      <c r="Q75" s="76">
        <v>20</v>
      </c>
    </row>
    <row r="76" spans="17:17" ht="11.55" customHeight="1">
      <c r="Q76" s="76">
        <v>11</v>
      </c>
    </row>
    <row r="77" spans="17:17" ht="11.55" customHeight="1">
      <c r="Q77" s="76">
        <v>11</v>
      </c>
    </row>
    <row r="78" spans="5:17" ht="11.55" customHeight="1">
      <c r="E78" s="392"/>
      <c s="392"/>
      <c s="392"/>
      <c s="392"/>
      <c s="392"/>
      <c r="Q78" s="76">
        <v>11</v>
      </c>
    </row>
    <row r="79" spans="1:17" ht="11.25" customHeight="1" hidden="1">
      <c r="A79" s="786" t="s">
        <v>81</v>
      </c>
      <c s="100">
        <v>0</v>
      </c>
      <c s="74">
        <v>3</v>
      </c>
      <c s="76">
        <v>1</v>
      </c>
      <c s="76">
        <v>55</v>
      </c>
      <c s="76">
        <v>54</v>
      </c>
      <c s="773">
        <v>1</v>
      </c>
      <c s="411">
        <v>0</v>
      </c>
      <c s="413">
        <v>59</v>
      </c>
      <c s="878">
        <v>0</v>
      </c>
      <c s="76">
        <v>8</v>
      </c>
      <c s="76">
        <v>77</v>
      </c>
      <c s="76">
        <v>8</v>
      </c>
      <c s="76">
        <v>8</v>
      </c>
      <c s="76">
        <v>8</v>
      </c>
      <c s="76">
        <v>8</v>
      </c>
      <c s="76">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F91B43-0078-AC59-8665-0.EC0FD738}" mc:Ignorable="x14ac xr xr2 xr3">
  <sheetPr>
    <tabColor rgb="FFCCCCFF"/>
    <pageSetUpPr fitToPage="1"/>
  </sheetPr>
  <dimension ref="A1:AC29"/>
  <sheetViews>
    <sheetView showGridLines="0" zoomScale="90" zoomScaleNormal="90" workbookViewId="0" topLeftCell="A1">
      <selection pane="topLeft" activeCell="G13" sqref="G13"/>
    </sheetView>
  </sheetViews>
  <sheetFormatPr defaultColWidth="9.14428571428571" defaultRowHeight="14.25" customHeight="1"/>
  <cols>
    <col min="1" max="1" width="8" style="1637" hidden="1" customWidth="1"/>
    <col min="2" max="2" width="6" style="1368" hidden="1" customWidth="1"/>
    <col min="3" max="3" width="3" style="1637" customWidth="1"/>
    <col min="4" max="4" width="3" style="1844" customWidth="1"/>
    <col min="5" max="5" width="6" style="1637" customWidth="1"/>
    <col min="6" max="6" width="2.71428571428571" style="1637" hidden="1" customWidth="1"/>
    <col min="7" max="7" width="46.7142857142857" style="1637" customWidth="1"/>
    <col min="8" max="8" width="42" style="1637" customWidth="1"/>
    <col min="9" max="9" width="14" style="1637" customWidth="1"/>
    <col min="10" max="10" width="3" style="1626" customWidth="1"/>
    <col min="11" max="13" width="9.14285714285714" style="1626" hidden="1"/>
    <col min="14" max="14" width="25.7142857142857" style="1626" hidden="1" customWidth="1"/>
    <col min="15" max="15" width="14.4285714285714" style="1626" hidden="1" customWidth="1"/>
    <col min="16" max="19" width="9.14285714285714" style="227" hidden="1"/>
    <col min="20" max="27" width="9.14285714285714" style="1637" hidden="1"/>
    <col min="28" max="28" width="8" style="1637" customWidth="1"/>
    <col min="29" max="29" width="9.14285714285714" style="1637" hidden="1"/>
  </cols>
  <sheetData>
    <row r="1" spans="1:29" s="1644" customFormat="1" ht="5.25" customHeight="1" hidden="1">
      <c r="A1" s="498"/>
      <c s="513"/>
      <c s="513"/>
      <c s="223"/>
      <c r="F1" s="513"/>
      <c s="249" t="s">
        <v>82</v>
      </c>
      <c s="496" t="s">
        <v>83</v>
      </c>
      <c s="229" t="s">
        <v>84</v>
      </c>
      <c s="249" t="s">
        <v>82</v>
      </c>
      <c s="249"/>
      <c s="249"/>
      <c s="249"/>
      <c s="250"/>
      <c s="249"/>
      <c s="249"/>
      <c s="249"/>
      <c s="249"/>
      <c s="249"/>
      <c s="229"/>
      <c s="229"/>
      <c s="229"/>
      <c s="229"/>
      <c s="229"/>
      <c s="229"/>
      <c s="229"/>
      <c s="229"/>
      <c s="229"/>
      <c s="154" t="s">
        <v>14</v>
      </c>
    </row>
    <row r="2" spans="1:29" s="1414" customFormat="1" ht="11.25" customHeight="1">
      <c r="A2" s="833"/>
      <c s="230"/>
      <c s="230"/>
      <c s="231"/>
      <c s="230"/>
      <c s="230"/>
      <c s="230"/>
      <c s="230"/>
      <c s="230"/>
      <c s="249"/>
      <c s="249"/>
      <c s="249"/>
      <c s="249"/>
      <c s="250"/>
      <c s="249"/>
      <c s="232"/>
      <c s="232"/>
      <c s="232"/>
      <c s="232"/>
      <c s="231"/>
      <c s="231"/>
      <c s="231"/>
      <c s="231"/>
      <c s="231"/>
      <c s="231"/>
      <c s="231"/>
      <c s="231"/>
      <c s="231"/>
      <c s="233">
        <v>11</v>
      </c>
    </row>
    <row r="3" spans="1:29" s="1821" customFormat="1" ht="3" customHeight="1">
      <c r="A3" s="760"/>
      <c s="419"/>
      <c s="760"/>
      <c s="166"/>
      <c s="105"/>
      <c s="511"/>
      <c s="105"/>
      <c s="105"/>
      <c s="168"/>
      <c s="249"/>
      <c s="157"/>
      <c s="157"/>
      <c s="157"/>
      <c s="228"/>
      <c s="157"/>
      <c s="227"/>
      <c s="227"/>
      <c s="227"/>
      <c s="227"/>
      <c r="AC3" s="118">
        <v>3</v>
      </c>
    </row>
    <row r="4" spans="1:29" s="1821" customFormat="1" ht="27.3" customHeight="1">
      <c r="A4" s="760"/>
      <c s="419"/>
      <c s="760"/>
      <c s="166"/>
      <c s="2102" t="str">
        <f>NameTemplatesInListMO</f>
        <v>Перечень муниципальных районов и муниципальных образований (территорий действия тарифа)</v>
      </c>
      <c s="2102"/>
      <c s="2102"/>
      <c s="2102"/>
      <c s="2102"/>
      <c s="249"/>
      <c s="157"/>
      <c s="157"/>
      <c s="157"/>
      <c s="228"/>
      <c s="157"/>
      <c s="227"/>
      <c s="227"/>
      <c s="227"/>
      <c s="227"/>
      <c r="AC4" s="118">
        <v>26</v>
      </c>
    </row>
    <row r="5" spans="1:29" s="1821" customFormat="1" ht="3" customHeight="1">
      <c r="A5" s="760"/>
      <c s="419"/>
      <c s="760"/>
      <c s="166"/>
      <c s="105"/>
      <c s="511"/>
      <c s="169"/>
      <c s="169"/>
      <c s="170"/>
      <c s="157"/>
      <c s="157"/>
      <c s="157"/>
      <c s="157"/>
      <c s="228"/>
      <c s="157"/>
      <c s="227"/>
      <c s="227"/>
      <c s="227"/>
      <c s="227"/>
      <c r="AC5" s="118">
        <v>3</v>
      </c>
    </row>
    <row r="6" spans="1:29" s="1821" customFormat="1" ht="20.25" customHeight="1" hidden="1">
      <c r="A6" s="839"/>
      <c s="835"/>
      <c s="171"/>
      <c s="166"/>
      <c s="781"/>
      <c s="781"/>
      <c s="169"/>
      <c s="172"/>
      <c s="172"/>
      <c s="157"/>
      <c s="157"/>
      <c s="157"/>
      <c s="157"/>
      <c s="228"/>
      <c s="157"/>
      <c s="227"/>
      <c s="227"/>
      <c s="227"/>
      <c s="227"/>
      <c r="AC6" s="118">
        <v>0</v>
      </c>
    </row>
    <row r="7" spans="29:29" ht="25.5" customHeight="1" hidden="1">
      <c r="AC7" s="85">
        <v>0</v>
      </c>
    </row>
    <row r="8" spans="1:29" s="1821" customFormat="1" ht="14.7" customHeight="1">
      <c r="A8" s="760"/>
      <c s="419"/>
      <c s="760"/>
      <c s="166"/>
      <c s="2103" t="s">
        <v>85</v>
      </c>
      <c s="2104"/>
      <c s="2105"/>
      <c s="2106" t="s">
        <v>86</v>
      </c>
      <c s="2106"/>
      <c s="157"/>
      <c s="157"/>
      <c s="157"/>
      <c s="157"/>
      <c s="228"/>
      <c s="157"/>
      <c s="227"/>
      <c s="227"/>
      <c s="227"/>
      <c s="227"/>
      <c r="AC8" s="118">
        <v>14</v>
      </c>
    </row>
    <row r="9" spans="1:29" s="1821" customFormat="1" ht="21" customHeight="1">
      <c r="A9" s="760"/>
      <c s="419"/>
      <c s="760"/>
      <c s="166"/>
      <c s="779" t="s">
        <v>87</v>
      </c>
      <c s="779"/>
      <c s="174" t="s">
        <v>88</v>
      </c>
      <c s="174" t="s">
        <v>88</v>
      </c>
      <c s="174" t="s">
        <v>84</v>
      </c>
      <c s="157"/>
      <c s="157"/>
      <c s="157"/>
      <c s="157"/>
      <c s="228"/>
      <c s="157"/>
      <c s="227"/>
      <c s="227"/>
      <c s="227"/>
      <c s="227"/>
      <c r="AC9" s="118">
        <v>20</v>
      </c>
    </row>
    <row r="10" spans="4:29" ht="11.55" customHeight="1">
      <c r="D10" s="178"/>
      <c s="780" t="s">
        <v>89</v>
      </c>
      <c s="780"/>
      <c s="225" t="s">
        <v>90</v>
      </c>
      <c s="225" t="s">
        <v>91</v>
      </c>
      <c s="225" t="s">
        <v>92</v>
      </c>
      <c s="188"/>
      <c s="188"/>
      <c s="188"/>
      <c s="188"/>
      <c s="173"/>
      <c s="188"/>
      <c s="226"/>
      <c s="226"/>
      <c s="226"/>
      <c s="226"/>
      <c r="AC10" s="85">
        <v>11</v>
      </c>
    </row>
    <row r="11" spans="1:29" s="1821" customFormat="1" ht="1.05" customHeight="1">
      <c r="A11" s="760"/>
      <c s="419"/>
      <c s="760"/>
      <c s="166"/>
      <c s="792"/>
      <c s="792"/>
      <c s="175"/>
      <c s="175"/>
      <c s="177"/>
      <c s="251" t="s">
        <v>93</v>
      </c>
      <c s="157"/>
      <c s="157"/>
      <c s="157" t="s">
        <v>94</v>
      </c>
      <c s="228" t="s">
        <v>95</v>
      </c>
      <c s="157" t="s">
        <v>96</v>
      </c>
      <c s="227"/>
      <c s="227"/>
      <c s="227"/>
      <c s="227"/>
      <c r="AC11" s="118">
        <v>1</v>
      </c>
    </row>
    <row r="12" spans="1:29" s="1821" customFormat="1" ht="15" customHeight="1">
      <c r="A12" s="2101">
        <v>1</v>
      </c>
      <c s="419"/>
      <c s="760"/>
      <c s="784"/>
      <c s="221">
        <f>A12</f>
        <v>1</v>
      </c>
      <c s="804" t="s">
        <v>97</v>
      </c>
      <c s="542" t="str">
        <f>"Территория "&amp;E12</f>
        <v>Территория 1</v>
      </c>
      <c s="794"/>
      <c s="794"/>
      <c s="791"/>
      <c s="502"/>
      <c s="502"/>
      <c s="502"/>
      <c s="228"/>
      <c s="502"/>
      <c s="227"/>
      <c s="227"/>
      <c s="227"/>
      <c s="227"/>
      <c r="AC12" s="509">
        <v>14</v>
      </c>
    </row>
    <row r="13" spans="1:29" s="1852" customFormat="1" ht="15.75" customHeight="1">
      <c r="A13" s="2101"/>
      <c s="419">
        <v>1</v>
      </c>
      <c s="419"/>
      <c s="802"/>
      <c s="782" t="str">
        <f>A12&amp;"."&amp;B13</f>
        <v>1.1</v>
      </c>
      <c s="797" t="s">
        <v>98</v>
      </c>
      <c s="795" t="s">
        <v>99</v>
      </c>
      <c s="795" t="s">
        <v>100</v>
      </c>
      <c s="793" t="s">
        <v>101</v>
      </c>
      <c s="502">
        <f>MERGEVALUE(G13)</f>
      </c>
      <c s="513"/>
      <c s="513"/>
      <c s="502" t="str">
        <f t="array" ref="M13">IF(ISERROR(MATCH(MID(N13,1,250),MID(note_ter,1,250),0)),"n","y")</f>
        <v>n</v>
      </c>
      <c s="513"/>
      <c s="502" t="str">
        <f>H13&amp;"("&amp;I13&amp;")"</f>
        <v>Ейское городское(03616101)</v>
      </c>
      <c s="419"/>
      <c s="419"/>
      <c s="422"/>
      <c s="419"/>
      <c s="419"/>
      <c s="419"/>
      <c s="424"/>
      <c s="424"/>
      <c s="421"/>
      <c s="421"/>
      <c s="421"/>
      <c s="421"/>
      <c s="421"/>
      <c s="425">
        <v>15</v>
      </c>
    </row>
    <row r="14" spans="1:29" s="1852" customFormat="1" ht="15.75" customHeight="1">
      <c r="A14" s="2101"/>
      <c s="419"/>
      <c s="414"/>
      <c s="803"/>
      <c s="423"/>
      <c s="179"/>
      <c s="417" t="s">
        <v>102</v>
      </c>
      <c s="189"/>
      <c s="426"/>
      <c s="513"/>
      <c s="513"/>
      <c s="513"/>
      <c s="513"/>
      <c s="502"/>
      <c s="513"/>
      <c s="419"/>
      <c s="419"/>
      <c s="422"/>
      <c s="419"/>
      <c s="419"/>
      <c s="419"/>
      <c s="424"/>
      <c s="424"/>
      <c s="421"/>
      <c s="421"/>
      <c s="421"/>
      <c s="421"/>
      <c s="421"/>
      <c s="425">
        <v>15</v>
      </c>
    </row>
    <row r="15" spans="1:29" s="1821" customFormat="1" ht="14.7" customHeight="1">
      <c r="A15" s="760"/>
      <c s="419"/>
      <c s="760"/>
      <c s="784"/>
      <c s="796"/>
      <c s="180"/>
      <c s="418" t="s">
        <v>103</v>
      </c>
      <c s="180"/>
      <c s="181"/>
      <c s="251"/>
      <c s="157"/>
      <c s="157"/>
      <c s="157"/>
      <c s="228" t="s">
        <v>104</v>
      </c>
      <c s="157"/>
      <c s="227"/>
      <c s="227"/>
      <c s="227"/>
      <c s="227"/>
      <c r="AC15" s="118">
        <v>14</v>
      </c>
    </row>
    <row r="16" spans="1:29" s="1821" customFormat="1" ht="22.05" customHeight="1">
      <c r="A16" s="760"/>
      <c s="419"/>
      <c s="760"/>
      <c s="167"/>
      <c s="182"/>
      <c s="182"/>
      <c s="182"/>
      <c s="182"/>
      <c s="182"/>
      <c s="157"/>
      <c s="157"/>
      <c s="157"/>
      <c s="157"/>
      <c s="228"/>
      <c s="157"/>
      <c s="227"/>
      <c s="227"/>
      <c s="227"/>
      <c s="227"/>
      <c r="AC16" s="118">
        <v>21</v>
      </c>
    </row>
    <row r="17" spans="1:29" s="1821" customFormat="1" ht="14.7" customHeight="1">
      <c r="A17" s="760"/>
      <c s="419"/>
      <c s="760"/>
      <c s="167"/>
      <c s="85"/>
      <c s="760"/>
      <c s="85"/>
      <c s="85"/>
      <c s="85"/>
      <c s="157"/>
      <c s="157"/>
      <c s="157"/>
      <c s="157"/>
      <c s="228"/>
      <c s="157"/>
      <c s="227"/>
      <c s="227"/>
      <c s="227"/>
      <c s="227"/>
      <c r="AC17" s="118">
        <v>14</v>
      </c>
    </row>
    <row r="18" spans="1:29" s="1821" customFormat="1" ht="1.05" customHeight="1">
      <c r="A18" s="760"/>
      <c s="419"/>
      <c s="760"/>
      <c s="167"/>
      <c s="85"/>
      <c s="760"/>
      <c s="85"/>
      <c s="85"/>
      <c s="85"/>
      <c s="157"/>
      <c s="157"/>
      <c s="157"/>
      <c s="157"/>
      <c s="228"/>
      <c s="157"/>
      <c s="227"/>
      <c s="227"/>
      <c s="227"/>
      <c s="227"/>
      <c r="AC18" s="118">
        <v>1</v>
      </c>
    </row>
    <row r="19" spans="2:29" s="1066" customFormat="1" ht="10.5" customHeight="1">
      <c r="B19" s="836"/>
      <c r="D19" s="184"/>
      <c r="J19" s="157"/>
      <c s="157"/>
      <c s="157"/>
      <c s="157"/>
      <c s="228"/>
      <c s="157"/>
      <c s="227"/>
      <c s="227"/>
      <c s="227"/>
      <c s="227"/>
      <c r="AC19" s="183">
        <v>10</v>
      </c>
    </row>
    <row r="20" spans="2:29" s="1066" customFormat="1" ht="10.5" customHeight="1">
      <c r="B20" s="836"/>
      <c r="D20" s="184"/>
      <c r="J20" s="157"/>
      <c s="157"/>
      <c s="157"/>
      <c s="157"/>
      <c s="228"/>
      <c s="157"/>
      <c s="227"/>
      <c s="227"/>
      <c s="227"/>
      <c s="227"/>
      <c r="AC20" s="183">
        <v>10</v>
      </c>
    </row>
    <row r="21" spans="29:29" ht="14.7" customHeight="1">
      <c r="AC21" s="85">
        <v>14</v>
      </c>
    </row>
    <row r="22" spans="29:29" ht="14.7" customHeight="1">
      <c r="AC22" s="85">
        <v>14</v>
      </c>
    </row>
    <row r="23" spans="29:29" ht="14.7" customHeight="1">
      <c r="AC23" s="85">
        <v>14</v>
      </c>
    </row>
    <row r="24" spans="8:29" ht="14.7" customHeight="1">
      <c r="H24" s="66"/>
      <c r="AC24" s="85">
        <v>14</v>
      </c>
    </row>
    <row r="25" spans="29:29" ht="14.7" customHeight="1">
      <c r="AC25" s="85">
        <v>14</v>
      </c>
    </row>
    <row r="26" spans="29:29" ht="14.7" customHeight="1">
      <c r="AC26" s="85">
        <v>14</v>
      </c>
    </row>
    <row r="27" spans="29:29" ht="14.7" customHeight="1">
      <c r="AC27" s="85">
        <v>14</v>
      </c>
    </row>
    <row r="28" spans="10:29" ht="14.7" customHeight="1">
      <c r="J28" s="85"/>
      <c s="85"/>
      <c s="85"/>
      <c r="AC28" s="85">
        <v>14</v>
      </c>
    </row>
    <row r="29" spans="1:29" ht="22.5" customHeight="1" hidden="1">
      <c r="A29" s="760" t="s">
        <v>81</v>
      </c>
      <c s="419">
        <v>0</v>
      </c>
      <c s="760">
        <v>3</v>
      </c>
      <c s="167">
        <v>3</v>
      </c>
      <c s="85">
        <v>6</v>
      </c>
      <c s="760">
        <v>0</v>
      </c>
      <c s="85">
        <v>46</v>
      </c>
      <c s="85">
        <v>42</v>
      </c>
      <c s="85">
        <v>14</v>
      </c>
      <c s="157">
        <v>3</v>
      </c>
      <c s="157">
        <v>0</v>
      </c>
      <c s="157">
        <v>0</v>
      </c>
      <c s="157">
        <v>0</v>
      </c>
      <c s="228">
        <v>0</v>
      </c>
      <c s="157">
        <v>0</v>
      </c>
      <c s="227">
        <v>0</v>
      </c>
      <c s="227">
        <v>0</v>
      </c>
      <c s="227">
        <v>0</v>
      </c>
      <c s="227">
        <v>0</v>
      </c>
      <c s="85">
        <v>0</v>
      </c>
      <c s="85">
        <v>0</v>
      </c>
      <c s="85">
        <v>0</v>
      </c>
      <c s="85">
        <v>0</v>
      </c>
      <c s="85">
        <v>0</v>
      </c>
      <c s="85">
        <v>0</v>
      </c>
      <c s="85">
        <v>0</v>
      </c>
      <c s="85">
        <v>0</v>
      </c>
      <c s="85">
        <v>8</v>
      </c>
      <c s="85">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CB72394-BCFA-14D2-E9E7-0.0CF7A80A}" mc:Ignorable="x14ac xr xr2 xr3">
  <sheetPr>
    <tabColor rgb="FFCCCCFF"/>
  </sheetPr>
  <dimension ref="A1:AM17"/>
  <sheetViews>
    <sheetView showGridLines="0" zoomScale="90" zoomScaleNormal="90" workbookViewId="0" topLeftCell="A1">
      <selection pane="topLeft" activeCell="M13" sqref="M13"/>
    </sheetView>
  </sheetViews>
  <sheetFormatPr defaultColWidth="9.14428571428571" defaultRowHeight="11.25" customHeight="1"/>
  <cols>
    <col min="1" max="1" width="6.42857142857143" style="1855" hidden="1" customWidth="1"/>
    <col min="2" max="2" width="2" style="1855" hidden="1" customWidth="1"/>
    <col min="3" max="3" width="3" style="1855" customWidth="1"/>
    <col min="4" max="4" width="4" style="1855" customWidth="1"/>
    <col min="5" max="5" width="44" style="1855" customWidth="1"/>
    <col min="6" max="6" width="6.42857142857143" style="1855" customWidth="1"/>
    <col min="7" max="7" width="4" style="1855" customWidth="1"/>
    <col min="8" max="8" width="5" style="1855" customWidth="1"/>
    <col min="9" max="9" width="52" style="1855" customWidth="1"/>
    <col min="10" max="10" width="7" style="1855" customWidth="1"/>
    <col min="11" max="11" width="3" style="1855" customWidth="1"/>
    <col min="12" max="12" width="6" style="1855" customWidth="1"/>
    <col min="13" max="13" width="56" style="1855" customWidth="1"/>
    <col min="14" max="14" width="8" style="1372" customWidth="1"/>
    <col min="15" max="20" width="9.14285714285714" style="1626" hidden="1"/>
    <col min="21" max="24" width="9.14285714285714" style="1268" hidden="1"/>
    <col min="25" max="37" width="9.14285714285714" style="1372" hidden="1"/>
    <col min="38" max="38" width="8" style="1372" customWidth="1"/>
    <col min="39" max="39" width="9.14285714285714" style="1855" hidden="1"/>
  </cols>
  <sheetData>
    <row r="1" spans="39:39" ht="11.25" customHeight="1" hidden="1">
      <c r="AM1" s="585" t="s">
        <v>14</v>
      </c>
    </row>
    <row r="2" spans="39:39" ht="11.25" customHeight="1" hidden="1">
      <c r="AM2" s="585">
        <v>0</v>
      </c>
    </row>
    <row r="3" spans="39:39" ht="11.55" customHeight="1">
      <c r="AM3" s="585">
        <v>11</v>
      </c>
    </row>
    <row r="4" spans="1:39" ht="35.7" customHeight="1">
      <c r="A4" s="587"/>
      <c s="587"/>
      <c r="D4" s="2121"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122"/>
      <c s="2122"/>
      <c s="2122"/>
      <c s="2122"/>
      <c s="2123"/>
      <c s="586"/>
      <c s="586"/>
      <c s="586"/>
      <c s="586"/>
      <c r="AM4" s="585">
        <v>34</v>
      </c>
    </row>
    <row r="5" spans="1:39" s="591" customFormat="1" ht="14.7" customHeight="1">
      <c r="A5" s="587"/>
      <c s="587"/>
      <c s="587"/>
      <c s="2124" t="str">
        <f>IF(org=0,"Не определено",org)</f>
        <v>ГУП КК "Кубаньводкомплекс"</v>
      </c>
      <c s="2125"/>
      <c s="2125"/>
      <c s="2125"/>
      <c s="2125"/>
      <c s="2126"/>
      <c s="588"/>
      <c s="588"/>
      <c s="588"/>
      <c s="588"/>
      <c s="588"/>
      <c s="872"/>
      <c s="872"/>
      <c s="872"/>
      <c s="872"/>
      <c s="872"/>
      <c s="872"/>
      <c s="1263"/>
      <c s="1263"/>
      <c s="1263"/>
      <c s="1263"/>
      <c s="588"/>
      <c s="588"/>
      <c s="588"/>
      <c s="588"/>
      <c s="588"/>
      <c s="588"/>
      <c s="588"/>
      <c s="588"/>
      <c s="588"/>
      <c s="588"/>
      <c s="588"/>
      <c s="588"/>
      <c s="588"/>
      <c s="588"/>
      <c s="589">
        <v>14</v>
      </c>
    </row>
    <row r="6" spans="1:39" s="591" customFormat="1" ht="6.3" customHeight="1">
      <c r="A6" s="2127"/>
      <c s="2127"/>
      <c s="2127"/>
      <c s="2127"/>
      <c s="2127"/>
      <c s="2127"/>
      <c s="590"/>
      <c s="590"/>
      <c s="590"/>
      <c s="590"/>
      <c s="590"/>
      <c r="N6" s="592"/>
      <c s="1416"/>
      <c s="1416"/>
      <c s="1416"/>
      <c s="1416"/>
      <c s="1416"/>
      <c s="1416"/>
      <c s="1266"/>
      <c s="1266"/>
      <c s="1266"/>
      <c s="1266"/>
      <c s="592"/>
      <c s="592"/>
      <c s="592"/>
      <c s="592"/>
      <c s="592"/>
      <c s="592"/>
      <c s="592"/>
      <c s="592"/>
      <c s="592"/>
      <c s="592"/>
      <c s="592"/>
      <c s="592"/>
      <c s="592"/>
      <c s="592"/>
      <c s="591">
        <v>6</v>
      </c>
    </row>
    <row r="7" spans="5:39" ht="45.75" customHeight="1"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3"/>
      <c s="2133"/>
      <c s="2133"/>
      <c s="2133"/>
      <c s="2133"/>
      <c s="2133"/>
      <c s="2133"/>
      <c s="2133"/>
      <c r="AM7" s="585">
        <v>0</v>
      </c>
    </row>
    <row r="8" spans="1:39" s="591" customFormat="1" ht="6.3" customHeight="1">
      <c r="A8" s="593"/>
      <c s="593"/>
      <c s="593"/>
      <c s="593"/>
      <c s="593"/>
      <c s="593"/>
      <c s="593"/>
      <c s="593"/>
      <c s="593"/>
      <c s="593"/>
      <c s="593"/>
      <c s="593"/>
      <c s="591"/>
      <c s="588"/>
      <c s="872"/>
      <c s="872"/>
      <c s="872"/>
      <c s="872"/>
      <c s="872"/>
      <c s="872"/>
      <c s="1263"/>
      <c s="1263"/>
      <c s="1263"/>
      <c s="1263"/>
      <c s="588"/>
      <c s="588"/>
      <c s="588"/>
      <c s="588"/>
      <c s="588"/>
      <c s="588"/>
      <c s="588"/>
      <c s="588"/>
      <c s="588"/>
      <c s="588"/>
      <c s="588"/>
      <c s="588"/>
      <c s="588"/>
      <c s="588"/>
      <c s="589">
        <v>6</v>
      </c>
    </row>
    <row r="9" spans="1:39" ht="18.75" customHeight="1">
      <c r="A9" s="2128"/>
      <c s="325"/>
      <c s="325"/>
      <c s="2129" t="s">
        <v>105</v>
      </c>
      <c s="2129"/>
      <c s="2130" t="s">
        <v>106</v>
      </c>
      <c s="2131"/>
      <c s="2131"/>
      <c s="2131"/>
      <c s="2134" t="s">
        <v>107</v>
      </c>
      <c s="2134"/>
      <c s="2134"/>
      <c s="2134"/>
      <c r="AM9" s="585">
        <v>18</v>
      </c>
    </row>
    <row r="10" spans="1:39" ht="24" customHeight="1">
      <c r="A10" s="2128"/>
      <c s="594"/>
      <c s="527"/>
      <c s="525" t="s">
        <v>87</v>
      </c>
      <c s="525" t="s">
        <v>88</v>
      </c>
      <c s="525" t="s">
        <v>108</v>
      </c>
      <c s="2135" t="s">
        <v>87</v>
      </c>
      <c s="2136"/>
      <c s="525" t="s">
        <v>88</v>
      </c>
      <c s="525" t="s">
        <v>108</v>
      </c>
      <c s="2135" t="s">
        <v>87</v>
      </c>
      <c s="2136"/>
      <c s="525" t="s">
        <v>88</v>
      </c>
      <c s="1629"/>
      <c r="AM10" s="585">
        <v>23</v>
      </c>
    </row>
    <row r="11" spans="1:39" s="1855" customFormat="1" ht="11.25" customHeight="1" hidden="1">
      <c r="A11" s="595"/>
      <c s="595"/>
      <c s="595"/>
      <c s="596" t="s">
        <v>109</v>
      </c>
      <c s="596" t="s">
        <v>110</v>
      </c>
      <c s="596" t="s">
        <v>89</v>
      </c>
      <c s="2117" t="s">
        <v>90</v>
      </c>
      <c s="2118"/>
      <c s="596" t="s">
        <v>111</v>
      </c>
      <c s="596" t="s">
        <v>91</v>
      </c>
      <c s="2119" t="s">
        <v>92</v>
      </c>
      <c s="2120"/>
      <c s="596" t="s">
        <v>112</v>
      </c>
      <c s="1628"/>
      <c s="1415"/>
      <c s="1417"/>
      <c s="1417"/>
      <c s="1417"/>
      <c s="1417"/>
      <c s="1417"/>
      <c s="1267"/>
      <c s="1267"/>
      <c s="1267"/>
      <c s="1267"/>
      <c s="597"/>
      <c s="597"/>
      <c s="597"/>
      <c s="597"/>
      <c s="597"/>
      <c s="597"/>
      <c s="597"/>
      <c s="597"/>
      <c s="597"/>
      <c s="597"/>
      <c s="597"/>
      <c s="597"/>
      <c s="597"/>
      <c s="597"/>
      <c s="598">
        <v>0</v>
      </c>
    </row>
    <row r="12" spans="1:39" ht="1.05" customHeight="1">
      <c r="A12" s="599"/>
      <c s="600"/>
      <c s="600"/>
      <c s="601"/>
      <c s="369"/>
      <c s="602"/>
      <c s="1061"/>
      <c s="1061"/>
      <c s="602"/>
      <c s="602"/>
      <c s="176"/>
      <c s="369"/>
      <c s="603"/>
      <c s="1629"/>
      <c s="1415" t="s">
        <v>113</v>
      </c>
      <c s="1415" t="s">
        <v>114</v>
      </c>
      <c s="1415" t="s">
        <v>115</v>
      </c>
      <c s="1415" t="s">
        <v>116</v>
      </c>
      <c r="AM12" s="585">
        <v>1</v>
      </c>
    </row>
    <row r="13" spans="1:39" s="1855" customFormat="1" ht="15.75" customHeight="1">
      <c r="A13" s="295"/>
      <c s="295"/>
      <c s="528"/>
      <c s="2110" t="s">
        <v>109</v>
      </c>
      <c s="2111" t="str">
        <f>INDEX(VD_NAME_LIST,MATCH("4189714",VD_ID_LIST,0))&amp;"; "&amp;INDEX(VD_NAME_LIST,MATCH("4189713",VD_ID_LIST,0))&amp;"; "&amp;INDEX(VD_NAME_LIST,MATCH("4189712",VD_ID_LIST,0))</f>
        <v>Водоотведение; Транспортировка; Подключение (технологическое присоединение) к централизованной системе водоотведения</v>
      </c>
      <c s="2114" t="s">
        <v>65</v>
      </c>
      <c s="2115"/>
      <c s="2116">
        <v>1</v>
      </c>
      <c s="2107" t="str">
        <f>IF(U13="","",INDEX(TERRITORY_MR_LIST,MATCH(U13,TERRITORY_LIST_ID,0)))</f>
        <v>Территория 1</v>
      </c>
      <c s="2109" t="s">
        <v>65</v>
      </c>
      <c s="604"/>
      <c s="529" t="s">
        <v>109</v>
      </c>
      <c s="2631" t="s">
        <v>117</v>
      </c>
      <c s="814"/>
      <c s="1418" t="s">
        <v>118</v>
      </c>
      <c s="1415" t="str">
        <f>$E$13</f>
        <v>Водоотведение; Транспортировка; Подключение (технологическое присоединение) к централизованной системе водоотведения</v>
      </c>
      <c s="1415" t="str">
        <f>IF($F$13="нет","без дифференциации",$I$13)</f>
        <v>Территория 1</v>
      </c>
      <c s="1415" t="str">
        <f>IF($J$13="нет","без дифференциации",M13)</f>
        <v>Ейский групповой водопровод (разводящие сети водоотведения)</v>
      </c>
      <c s="1418"/>
      <c s="1418"/>
      <c s="1268" t="s">
        <v>97</v>
      </c>
      <c s="1268" t="s">
        <v>119</v>
      </c>
      <c s="1268"/>
      <c s="1268"/>
      <c s="606" t="s">
        <v>120</v>
      </c>
      <c s="606">
        <v>1705000</v>
      </c>
      <c s="606"/>
      <c s="606"/>
      <c s="606"/>
      <c s="606"/>
      <c s="606"/>
      <c s="606"/>
      <c s="606"/>
      <c s="606"/>
      <c s="606"/>
      <c s="606"/>
      <c s="606"/>
      <c s="606"/>
      <c s="608">
        <v>15</v>
      </c>
    </row>
    <row r="14" spans="1:39" s="1855" customFormat="1" ht="15.75" customHeight="1">
      <c r="A14" s="295"/>
      <c s="295"/>
      <c s="178"/>
      <c s="2110"/>
      <c s="2112"/>
      <c s="2109"/>
      <c s="2115"/>
      <c s="2116"/>
      <c s="2108"/>
      <c s="2109"/>
      <c s="423"/>
      <c s="179"/>
      <c s="609" t="s">
        <v>121</v>
      </c>
      <c s="814"/>
      <c s="1418"/>
      <c s="1415"/>
      <c s="1415"/>
      <c s="1415"/>
      <c s="1418"/>
      <c s="1418"/>
      <c s="1268"/>
      <c s="1268"/>
      <c s="1268"/>
      <c s="1268"/>
      <c s="606"/>
      <c s="606"/>
      <c s="606"/>
      <c s="606"/>
      <c s="606"/>
      <c s="606"/>
      <c s="606"/>
      <c s="606"/>
      <c s="606"/>
      <c s="606"/>
      <c s="606"/>
      <c s="606"/>
      <c s="606"/>
      <c s="606"/>
      <c s="608">
        <v>15</v>
      </c>
    </row>
    <row r="15" spans="1:39" s="1855" customFormat="1" ht="15.75" customHeight="1">
      <c r="A15" s="295"/>
      <c s="295"/>
      <c s="178"/>
      <c s="2110"/>
      <c s="2113"/>
      <c s="2109"/>
      <c s="1062"/>
      <c s="1063"/>
      <c s="582" t="s">
        <v>122</v>
      </c>
      <c s="179"/>
      <c s="179"/>
      <c s="179"/>
      <c s="610"/>
      <c s="814"/>
      <c s="1418"/>
      <c s="1415"/>
      <c s="1415"/>
      <c s="1415"/>
      <c s="1418"/>
      <c s="1418"/>
      <c s="1268"/>
      <c s="1268"/>
      <c s="1268"/>
      <c s="1268"/>
      <c s="606"/>
      <c s="606"/>
      <c s="606"/>
      <c s="606"/>
      <c s="606"/>
      <c s="606"/>
      <c s="606"/>
      <c s="606"/>
      <c s="606"/>
      <c s="606"/>
      <c s="606"/>
      <c s="606"/>
      <c s="606"/>
      <c s="606"/>
      <c s="608">
        <v>15</v>
      </c>
    </row>
    <row r="16" spans="1:39" ht="15.75" customHeight="1">
      <c r="A16" s="611"/>
      <c s="137"/>
      <c s="808"/>
      <c s="423"/>
      <c s="573" t="s">
        <v>123</v>
      </c>
      <c s="179"/>
      <c s="179"/>
      <c s="179"/>
      <c s="179"/>
      <c s="179"/>
      <c s="179" t="s">
        <v>22</v>
      </c>
      <c s="179"/>
      <c s="610"/>
      <c s="1629"/>
      <c r="AM16" s="585">
        <v>15</v>
      </c>
    </row>
    <row r="17" spans="1:39" ht="11.25" customHeight="1" hidden="1">
      <c r="A17" s="585" t="s">
        <v>81</v>
      </c>
      <c s="585">
        <v>0</v>
      </c>
      <c s="585">
        <v>3</v>
      </c>
      <c s="585">
        <v>4</v>
      </c>
      <c s="585">
        <v>44</v>
      </c>
      <c s="585">
        <v>6</v>
      </c>
      <c s="585">
        <v>4</v>
      </c>
      <c s="585">
        <v>5</v>
      </c>
      <c s="585">
        <v>52</v>
      </c>
      <c s="585">
        <v>6</v>
      </c>
      <c s="585">
        <v>3</v>
      </c>
      <c s="585">
        <v>6</v>
      </c>
      <c s="585">
        <v>56</v>
      </c>
      <c s="586">
        <v>8</v>
      </c>
      <c s="1415">
        <v>0</v>
      </c>
      <c s="1415">
        <v>0</v>
      </c>
      <c s="1415">
        <v>0</v>
      </c>
      <c s="1415">
        <v>0</v>
      </c>
      <c s="1415">
        <v>0</v>
      </c>
      <c s="1415">
        <v>0</v>
      </c>
      <c s="1265">
        <v>0</v>
      </c>
      <c s="1265">
        <v>0</v>
      </c>
      <c s="1265">
        <v>0</v>
      </c>
      <c s="1265">
        <v>0</v>
      </c>
      <c s="586">
        <v>0</v>
      </c>
      <c s="586">
        <v>0</v>
      </c>
      <c s="586">
        <v>0</v>
      </c>
      <c s="586">
        <v>0</v>
      </c>
      <c s="586">
        <v>0</v>
      </c>
      <c s="586">
        <v>0</v>
      </c>
      <c s="586">
        <v>0</v>
      </c>
      <c s="586">
        <v>0</v>
      </c>
      <c s="586">
        <v>0</v>
      </c>
      <c s="586">
        <v>0</v>
      </c>
      <c s="586">
        <v>0</v>
      </c>
      <c s="586">
        <v>0</v>
      </c>
      <c s="586">
        <v>0</v>
      </c>
      <c s="586">
        <v>8</v>
      </c>
      <c s="585">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24B587F-DBAC-1F19-CA1B-0.2FB1D748}"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6" hidden="1" customWidth="1"/>
    <col min="3" max="3" width="3" style="1855" customWidth="1"/>
    <col min="4" max="4" width="6" style="1855" customWidth="1"/>
    <col min="5" max="5" width="42" style="1855" customWidth="1"/>
    <col min="6" max="6" width="15" style="1855" customWidth="1"/>
    <col min="7" max="7" width="42" style="1855" customWidth="1"/>
    <col min="8" max="8" width="3" style="1855" customWidth="1"/>
    <col min="9" max="9" width="5" style="1855" customWidth="1"/>
    <col min="10" max="10" width="47" style="1855" customWidth="1"/>
    <col min="11" max="12" width="3" style="1855" customWidth="1"/>
    <col min="13" max="13" width="5" style="1855" customWidth="1"/>
    <col min="14" max="14" width="28" style="1855" customWidth="1"/>
    <col min="15" max="16" width="3" style="1855" customWidth="1"/>
    <col min="17" max="17" width="5" style="1855" customWidth="1"/>
    <col min="18" max="18" width="34" style="1855" customWidth="1"/>
    <col min="19" max="20" width="3.71428571428571" style="1855" hidden="1" customWidth="1"/>
    <col min="21" max="21" width="5.71428571428571" style="1855" hidden="1" customWidth="1"/>
    <col min="22" max="22" width="34.4285714285714" style="1855" hidden="1" customWidth="1"/>
    <col min="23" max="23" width="30" style="1855" customWidth="1"/>
    <col min="24" max="24" width="3" style="1855" customWidth="1"/>
    <col min="25" max="28" width="9.85714285714286" style="1268" hidden="1" customWidth="1"/>
    <col min="29" max="29" width="27" style="1268" hidden="1" customWidth="1"/>
    <col min="30" max="30" width="10.5714285714286" style="1268" hidden="1" customWidth="1"/>
    <col min="31" max="31" width="10.7142857142857" style="1268" hidden="1" customWidth="1"/>
    <col min="32" max="32" width="10" style="1268" hidden="1" customWidth="1"/>
    <col min="33" max="33" width="12.8571428571429" style="1268" hidden="1" customWidth="1"/>
    <col min="34" max="34" width="24.4285714285714" style="1268" hidden="1" customWidth="1"/>
    <col min="35" max="35" width="15.8571428571429" style="1268" hidden="1" customWidth="1"/>
    <col min="36" max="36" width="19.4285714285714" style="1268" hidden="1" customWidth="1"/>
    <col min="37" max="37" width="11" style="1268" hidden="1" customWidth="1"/>
    <col min="38" max="38" width="23.5714285714286" style="1268" hidden="1" customWidth="1"/>
    <col min="39" max="39" width="23.8571428571429" style="1268" hidden="1" customWidth="1"/>
    <col min="40" max="40" width="25.2857142857143" style="1268" hidden="1" customWidth="1"/>
    <col min="41" max="41" width="16.8571428571429" style="1268" hidden="1" customWidth="1"/>
    <col min="42" max="42" width="29.5714285714286" style="1268" hidden="1" customWidth="1"/>
    <col min="43" max="43" width="29.8571428571429" style="1268" hidden="1" customWidth="1"/>
    <col min="44" max="44" width="9.14285714285714" style="1855" hidden="1"/>
  </cols>
  <sheetData>
    <row r="1" spans="1:1 44:44" ht="11.25" customHeight="1" hidden="1">
      <c r="A1" s="158"/>
      <c r="AR1" s="106" t="s">
        <v>14</v>
      </c>
    </row>
    <row r="2" spans="44:44" ht="11.25" customHeight="1" hidden="1">
      <c r="AR2" s="106">
        <v>0</v>
      </c>
    </row>
    <row r="3" spans="44:44" ht="11.25" customHeight="1" hidden="1">
      <c r="AR3" s="106">
        <v>0</v>
      </c>
    </row>
    <row r="4" spans="44:44" ht="3" customHeight="1">
      <c r="AR4" s="106">
        <v>3</v>
      </c>
    </row>
    <row r="5" spans="1:44" s="591" customFormat="1" ht="30.45" customHeight="1">
      <c r="A5" s="156"/>
      <c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2160"/>
      <c s="2160"/>
      <c s="2160"/>
      <c s="2160"/>
      <c s="2160"/>
      <c s="2161"/>
      <c s="267"/>
      <c s="144"/>
      <c s="144"/>
      <c s="144"/>
      <c s="144"/>
      <c s="144"/>
      <c s="144"/>
      <c s="144"/>
      <c s="292"/>
      <c s="292"/>
      <c s="292"/>
      <c s="292"/>
      <c s="144"/>
      <c r="Y5" s="1262"/>
      <c s="1262"/>
      <c s="1262"/>
      <c s="1262"/>
      <c s="1262"/>
      <c s="1262"/>
      <c s="1262"/>
      <c s="1262"/>
      <c s="1262"/>
      <c s="1262"/>
      <c s="1262"/>
      <c s="1262"/>
      <c s="1262"/>
      <c s="1262"/>
      <c s="1262"/>
      <c s="1262"/>
      <c s="1262"/>
      <c s="1262"/>
      <c s="1262"/>
      <c s="113">
        <v>29</v>
      </c>
    </row>
    <row r="6" spans="1:44" s="591" customFormat="1" ht="14.7" customHeight="1">
      <c r="A6" s="587"/>
      <c s="587"/>
      <c s="587"/>
      <c s="2165" t="str">
        <f>IF(org=0,"Не определено",org)</f>
        <v>ГУП КК "Кубаньводкомплекс"</v>
      </c>
      <c s="2165"/>
      <c s="2165"/>
      <c s="2165"/>
      <c s="2165"/>
      <c s="2165"/>
      <c s="2165"/>
      <c s="588"/>
      <c s="588"/>
      <c s="588"/>
      <c s="588"/>
      <c s="872"/>
      <c s="872"/>
      <c s="872"/>
      <c s="872"/>
      <c s="872"/>
      <c s="872"/>
      <c s="872"/>
      <c s="872"/>
      <c s="872"/>
      <c s="588"/>
      <c s="1263"/>
      <c s="1263"/>
      <c s="1263"/>
      <c s="1263"/>
      <c s="1263"/>
      <c s="1263"/>
      <c s="1263"/>
      <c s="1263"/>
      <c s="1263"/>
      <c s="1263"/>
      <c s="1263"/>
      <c s="1263"/>
      <c s="1263"/>
      <c s="1263"/>
      <c s="1263"/>
      <c s="1263"/>
      <c s="1263"/>
      <c s="1263"/>
      <c s="1263"/>
      <c s="589">
        <v>14</v>
      </c>
    </row>
    <row r="7" spans="1:44" s="301" customFormat="1" ht="11.55" customHeight="1">
      <c r="A7" s="213"/>
      <c s="213"/>
      <c r="D7" s="2162"/>
      <c s="2163"/>
      <c s="2163"/>
      <c s="2163"/>
      <c s="2163"/>
      <c s="2163"/>
      <c s="2164"/>
      <c r="S7" s="301"/>
      <c s="301"/>
      <c s="301"/>
      <c s="301"/>
      <c r="Y7" s="1264"/>
      <c s="1264"/>
      <c s="1264"/>
      <c s="1264"/>
      <c s="1264"/>
      <c s="1264"/>
      <c s="1264"/>
      <c s="1264"/>
      <c s="1264"/>
      <c s="1264"/>
      <c s="1264"/>
      <c s="1264"/>
      <c s="1264"/>
      <c s="1264"/>
      <c s="1264"/>
      <c s="1264"/>
      <c s="1264"/>
      <c s="1264"/>
      <c s="1264"/>
      <c s="278">
        <v>11</v>
      </c>
    </row>
    <row r="8" spans="1:44" s="591" customFormat="1" ht="1.05" customHeight="1">
      <c r="A8" s="156"/>
      <c s="156"/>
      <c r="D8" s="214"/>
      <c s="214"/>
      <c s="214"/>
      <c s="214"/>
      <c s="214"/>
      <c s="214"/>
      <c s="214"/>
      <c s="214"/>
      <c s="214"/>
      <c s="214"/>
      <c s="214"/>
      <c s="214"/>
      <c s="214"/>
      <c s="214"/>
      <c s="214"/>
      <c s="214"/>
      <c s="214"/>
      <c s="214"/>
      <c s="214"/>
      <c s="214"/>
      <c s="134"/>
      <c s="1262"/>
      <c s="1262"/>
      <c s="1262"/>
      <c s="1262"/>
      <c s="1262"/>
      <c s="1262"/>
      <c s="1262"/>
      <c s="1262"/>
      <c s="1262"/>
      <c s="1262"/>
      <c s="1262"/>
      <c s="1262"/>
      <c s="1262"/>
      <c s="1262"/>
      <c s="1262"/>
      <c s="1262"/>
      <c s="1262"/>
      <c s="1262"/>
      <c s="1262"/>
      <c s="113">
        <v>1</v>
      </c>
    </row>
    <row r="9" spans="4:44" ht="28.5" customHeight="1">
      <c r="D9" s="2129" t="s">
        <v>87</v>
      </c>
      <c s="2103" t="s">
        <v>124</v>
      </c>
      <c s="2105"/>
      <c s="2129" t="s">
        <v>105</v>
      </c>
      <c s="2129" t="s">
        <v>87</v>
      </c>
      <c s="2129"/>
      <c s="2129" t="s">
        <v>125</v>
      </c>
      <c s="2157" t="s">
        <v>126</v>
      </c>
      <c s="2157"/>
      <c s="2157"/>
      <c s="2157"/>
      <c s="2157" t="s">
        <v>127</v>
      </c>
      <c s="2157"/>
      <c s="2157"/>
      <c s="2157"/>
      <c s="2157" t="s">
        <v>128</v>
      </c>
      <c s="2157"/>
      <c s="2157"/>
      <c s="2157"/>
      <c s="2129" t="s">
        <v>129</v>
      </c>
      <c r="AR9" s="106">
        <v>27</v>
      </c>
    </row>
    <row r="10" spans="4:44" ht="31.5" customHeight="1">
      <c r="D10" s="2129"/>
      <c s="1286" t="s">
        <v>88</v>
      </c>
      <c s="1286" t="s">
        <v>130</v>
      </c>
      <c s="2129"/>
      <c s="2129"/>
      <c s="2129"/>
      <c s="2129"/>
      <c s="112" t="s">
        <v>108</v>
      </c>
      <c s="2129" t="s">
        <v>87</v>
      </c>
      <c s="2129"/>
      <c s="112" t="s">
        <v>131</v>
      </c>
      <c s="112" t="s">
        <v>108</v>
      </c>
      <c s="2129" t="s">
        <v>87</v>
      </c>
      <c s="2129"/>
      <c s="112" t="s">
        <v>131</v>
      </c>
      <c s="285" t="s">
        <v>108</v>
      </c>
      <c s="2129" t="s">
        <v>87</v>
      </c>
      <c s="2129"/>
      <c s="285" t="s">
        <v>88</v>
      </c>
      <c s="2129"/>
      <c r="Z10" s="1261" t="s">
        <v>132</v>
      </c>
      <c s="1261" t="s">
        <v>133</v>
      </c>
      <c s="1261" t="s">
        <v>134</v>
      </c>
      <c s="1261" t="s">
        <v>135</v>
      </c>
      <c s="1261" t="s">
        <v>136</v>
      </c>
      <c s="1261" t="s">
        <v>137</v>
      </c>
      <c s="1261" t="s">
        <v>138</v>
      </c>
      <c s="1261" t="s">
        <v>139</v>
      </c>
      <c s="1261" t="s">
        <v>140</v>
      </c>
      <c s="1261" t="s">
        <v>141</v>
      </c>
      <c s="1261" t="s">
        <v>142</v>
      </c>
      <c s="1261" t="s">
        <v>143</v>
      </c>
      <c s="1261" t="s">
        <v>144</v>
      </c>
      <c s="1261" t="s">
        <v>145</v>
      </c>
      <c s="1261" t="s">
        <v>146</v>
      </c>
      <c s="1261" t="s">
        <v>147</v>
      </c>
      <c s="1261" t="s">
        <v>148</v>
      </c>
      <c s="1261" t="s">
        <v>149</v>
      </c>
      <c s="106">
        <v>30</v>
      </c>
    </row>
    <row r="11" spans="4:44" s="1626" customFormat="1" ht="12" customHeight="1" hidden="1">
      <c r="D11" s="1251" t="s">
        <v>109</v>
      </c>
      <c s="1251" t="s">
        <v>110</v>
      </c>
      <c s="1251"/>
      <c s="1251" t="s">
        <v>89</v>
      </c>
      <c s="2158" t="s">
        <v>111</v>
      </c>
      <c s="2158"/>
      <c s="1251" t="s">
        <v>91</v>
      </c>
      <c s="1251" t="s">
        <v>92</v>
      </c>
      <c s="2158" t="s">
        <v>112</v>
      </c>
      <c s="2158"/>
      <c s="1251" t="s">
        <v>150</v>
      </c>
      <c s="1251" t="s">
        <v>151</v>
      </c>
      <c s="2158" t="s">
        <v>152</v>
      </c>
      <c s="2158"/>
      <c s="1251" t="s">
        <v>153</v>
      </c>
      <c s="1251" t="s">
        <v>152</v>
      </c>
      <c s="2158" t="s">
        <v>153</v>
      </c>
      <c s="2158"/>
      <c s="1251" t="s">
        <v>154</v>
      </c>
      <c s="1251" t="s">
        <v>155</v>
      </c>
      <c r="Y11" s="1261"/>
      <c s="1261"/>
      <c s="1261"/>
      <c s="1261"/>
      <c s="1261"/>
      <c s="1261"/>
      <c s="1261"/>
      <c s="1261"/>
      <c s="1261"/>
      <c s="1261"/>
      <c s="1261"/>
      <c s="1261"/>
      <c s="1261"/>
      <c s="1261"/>
      <c s="1261"/>
      <c s="1261"/>
      <c s="1261"/>
      <c s="1261"/>
      <c s="1261"/>
      <c s="279">
        <v>0</v>
      </c>
    </row>
    <row r="12" spans="3:44" ht="14.25" customHeight="1" hidden="1">
      <c r="C12" s="211"/>
      <c s="1284">
        <v>0</v>
      </c>
      <c s="252"/>
      <c s="252"/>
      <c s="252"/>
      <c s="253"/>
      <c s="253"/>
      <c s="160"/>
      <c s="114"/>
      <c s="160"/>
      <c s="160"/>
      <c s="254"/>
      <c s="114"/>
      <c s="160"/>
      <c s="160"/>
      <c s="255"/>
      <c s="286"/>
      <c s="294"/>
      <c s="294"/>
      <c s="298"/>
      <c s="114"/>
      <c s="143"/>
      <c r="AR12" s="106">
        <v>0</v>
      </c>
    </row>
    <row r="13" spans="1:44" s="1855" customFormat="1" ht="17.25" customHeight="1" hidden="1">
      <c r="A13" s="323"/>
      <c r="C13" s="211"/>
      <c s="2137">
        <v>1</v>
      </c>
      <c s="2145" t="s">
        <v>156</v>
      </c>
      <c s="2147" t="s">
        <v>19</v>
      </c>
      <c s="2145"/>
      <c s="2150"/>
      <c s="2152"/>
      <c s="2154"/>
      <c s="2139"/>
      <c s="2139"/>
      <c s="2139"/>
      <c s="2141"/>
      <c s="2139"/>
      <c s="2139"/>
      <c s="2139"/>
      <c s="2144"/>
      <c s="2139"/>
      <c s="1422"/>
      <c s="1422"/>
      <c s="1421"/>
      <c s="1298"/>
      <c r="Y13" s="1269"/>
      <c s="1269"/>
      <c s="1269"/>
      <c s="1269"/>
      <c s="1269" t="s">
        <v>157</v>
      </c>
      <c s="1269" t="s">
        <v>158</v>
      </c>
      <c s="1269" t="s">
        <v>159</v>
      </c>
      <c s="1269" t="s">
        <v>160</v>
      </c>
      <c s="1269" t="s">
        <v>161</v>
      </c>
      <c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9" t="str">
        <f>IF($G$13=0,"",$G$13)</f>
        <v/>
      </c>
      <c s="1269" t="str">
        <f>IF($J$13=0,"",$J$13)</f>
        <v/>
      </c>
      <c s="1269" t="str">
        <f>IF($K$13="нет","без дифференциации",IF($N$13=0,"",$N$13))</f>
        <v/>
      </c>
      <c s="1269" t="str">
        <f>IF($O$13="нет","без дифференциации",IF($R$13=0,"",$R$13))</f>
        <v/>
      </c>
      <c s="1269" t="str">
        <f>IF($S$13="нет","без дифференциации",IF($V$13=0,"",$V$13))</f>
        <v/>
      </c>
      <c s="1269">
        <f>$I$13</f>
        <v>0</v>
      </c>
      <c s="1269" t="str">
        <f>$I$13&amp;"."&amp;$M$13</f>
        <v>.</v>
      </c>
      <c s="1269" t="str">
        <f>$I$13&amp;"."&amp;$M$13&amp;"."&amp;$Q$13</f>
        <v>..</v>
      </c>
      <c s="1269" t="str">
        <f>$I$13&amp;"."&amp;$M$13&amp;"."&amp;$Q$13&amp;"."&amp;$U$13</f>
        <v>...</v>
      </c>
      <c s="752">
        <v>0</v>
      </c>
    </row>
    <row r="14" spans="1:44" s="1855" customFormat="1" ht="17.25" customHeight="1" hidden="1">
      <c r="A14" s="323"/>
      <c r="C14" s="322"/>
      <c s="2137"/>
      <c s="2145"/>
      <c s="2148"/>
      <c s="2145"/>
      <c s="2151"/>
      <c s="2153"/>
      <c s="2155"/>
      <c s="2140"/>
      <c s="2140"/>
      <c s="2140"/>
      <c s="2142"/>
      <c s="2140"/>
      <c s="2140"/>
      <c s="2140"/>
      <c s="2143"/>
      <c s="2140"/>
      <c s="1299"/>
      <c s="1299"/>
      <c s="1299"/>
      <c s="1300"/>
      <c r="Y14" s="1261"/>
      <c s="1261"/>
      <c s="1261"/>
      <c s="1261"/>
      <c s="1261"/>
      <c s="1261"/>
      <c s="1261"/>
      <c s="1261"/>
      <c s="1261"/>
      <c s="1261"/>
      <c s="1261"/>
      <c s="1261"/>
      <c s="1261"/>
      <c s="1261"/>
      <c s="1261"/>
      <c s="1261"/>
      <c s="1261"/>
      <c s="1261"/>
      <c s="1261"/>
      <c s="752">
        <v>0</v>
      </c>
    </row>
    <row r="15" spans="1:44" s="1855" customFormat="1" ht="17.25" customHeight="1" hidden="1">
      <c r="A15" s="323"/>
      <c r="C15" s="211"/>
      <c s="2137"/>
      <c s="2145"/>
      <c s="2148"/>
      <c s="2145"/>
      <c s="2151"/>
      <c s="2153"/>
      <c s="2156"/>
      <c s="2140"/>
      <c s="2140"/>
      <c s="2140"/>
      <c s="2143"/>
      <c s="2140"/>
      <c s="1420"/>
      <c s="1299"/>
      <c s="1299"/>
      <c s="331"/>
      <c s="331"/>
      <c s="331"/>
      <c s="331"/>
      <c s="1300"/>
      <c r="Y15" s="1269"/>
      <c s="1269"/>
      <c s="1269"/>
      <c s="1269"/>
      <c s="1269"/>
      <c s="1269"/>
      <c s="1269"/>
      <c s="1269"/>
      <c s="1269"/>
      <c s="1269"/>
      <c s="1269"/>
      <c s="1269"/>
      <c s="1269"/>
      <c s="1269"/>
      <c s="1269"/>
      <c s="1269"/>
      <c s="1269"/>
      <c s="1269"/>
      <c s="1269"/>
      <c s="1419">
        <v>0</v>
      </c>
    </row>
    <row r="16" spans="1:44" s="1855" customFormat="1" ht="17.25" customHeight="1" hidden="1">
      <c r="A16" s="323"/>
      <c r="C16" s="322"/>
      <c s="2137"/>
      <c s="2145"/>
      <c s="2148"/>
      <c s="2145"/>
      <c s="2151"/>
      <c s="2153"/>
      <c s="2156"/>
      <c s="2140"/>
      <c s="1299"/>
      <c s="1299"/>
      <c s="1299"/>
      <c s="1299"/>
      <c s="1299"/>
      <c s="1299"/>
      <c s="1299"/>
      <c s="331"/>
      <c s="331"/>
      <c s="331"/>
      <c s="331"/>
      <c s="1300"/>
      <c r="Y16" s="1261"/>
      <c s="1261"/>
      <c s="1261"/>
      <c s="1261"/>
      <c s="1261"/>
      <c s="1261"/>
      <c s="1261"/>
      <c s="1261"/>
      <c s="1261"/>
      <c s="1261"/>
      <c s="1261"/>
      <c s="1261"/>
      <c s="1261"/>
      <c s="1261"/>
      <c s="1261"/>
      <c s="1261"/>
      <c s="1261"/>
      <c s="1261"/>
      <c s="1261"/>
      <c s="1419">
        <v>0</v>
      </c>
    </row>
    <row r="17" spans="1:44" s="1855" customFormat="1" ht="17.25" customHeight="1" hidden="1">
      <c r="A17" s="323"/>
      <c r="C17" s="322"/>
      <c s="2138"/>
      <c s="2146"/>
      <c s="2149"/>
      <c s="2146"/>
      <c s="1301"/>
      <c s="1302"/>
      <c s="1302"/>
      <c s="1302"/>
      <c s="1302"/>
      <c s="1302"/>
      <c s="1302"/>
      <c s="1302"/>
      <c s="1302"/>
      <c s="1302"/>
      <c s="1302"/>
      <c s="1303"/>
      <c s="1303"/>
      <c s="1303"/>
      <c s="1303"/>
      <c s="1304"/>
      <c r="Y17" s="1261"/>
      <c s="1261"/>
      <c s="1261"/>
      <c s="1261"/>
      <c s="1261"/>
      <c s="1261"/>
      <c s="1261"/>
      <c s="1261"/>
      <c s="1261"/>
      <c s="1261"/>
      <c s="1261"/>
      <c s="1261"/>
      <c s="1261"/>
      <c s="1261"/>
      <c s="1261"/>
      <c s="1261"/>
      <c s="1261"/>
      <c s="1261"/>
      <c s="1261"/>
      <c s="752">
        <v>0</v>
      </c>
    </row>
    <row r="18" spans="1:44" s="1855" customFormat="1" ht="17.25" customHeight="1" hidden="1">
      <c r="A18" s="323"/>
      <c r="C18" s="211"/>
      <c s="2137">
        <v>2</v>
      </c>
      <c s="2166"/>
      <c s="2147" t="s">
        <v>19</v>
      </c>
      <c s="2145"/>
      <c s="2150"/>
      <c s="2152"/>
      <c s="2154"/>
      <c s="2139"/>
      <c s="2139"/>
      <c s="2139"/>
      <c s="2141"/>
      <c s="2139"/>
      <c s="2139"/>
      <c s="2139"/>
      <c s="2144"/>
      <c s="2139"/>
      <c s="1422"/>
      <c s="1422"/>
      <c s="1421"/>
      <c s="1298"/>
      <c s="1269"/>
      <c s="1269"/>
      <c s="1269"/>
      <c s="1269"/>
      <c s="1269"/>
      <c s="1269" t="s">
        <v>162</v>
      </c>
      <c s="1269" t="s">
        <v>163</v>
      </c>
      <c s="1269" t="s">
        <v>164</v>
      </c>
      <c s="1269" t="s">
        <v>165</v>
      </c>
      <c s="1269" t="s">
        <v>166</v>
      </c>
      <c s="1269" t="str">
        <f>IF($E$18=0,"",$E$18)</f>
        <v/>
      </c>
      <c s="1269" t="str">
        <f>IF($G$18=0,"",$G$18)</f>
        <v/>
      </c>
      <c s="1269" t="str">
        <f>IF($J$18=0,"",$J$18)</f>
        <v/>
      </c>
      <c s="1269" t="str">
        <f>IF($K$18="нет","без дифференциации",IF($N$18=0,"",$N$18))</f>
        <v/>
      </c>
      <c s="1269" t="str">
        <f>IF($O$18="нет","без дифференциации",IF($R$18=0,"",$R$18))</f>
        <v/>
      </c>
      <c s="1269" t="str">
        <f>IF($S$18="нет","без дифференциации",IF($V$18=0,"",$V$18))</f>
        <v/>
      </c>
      <c s="1774">
        <f>$I$18</f>
        <v>0</v>
      </c>
      <c s="1269" t="str">
        <f>$I$18&amp;"."&amp;$M$18</f>
        <v>.</v>
      </c>
      <c s="1261" t="str">
        <f>$I$18&amp;"."&amp;$M$18&amp;"."&amp;$Q$18</f>
        <v>..</v>
      </c>
      <c s="1261" t="str">
        <f>$I$18&amp;"."&amp;$M$18&amp;"."&amp;$Q$18&amp;"."&amp;$U$18</f>
        <v>...</v>
      </c>
      <c s="1285">
        <v>0</v>
      </c>
    </row>
    <row r="19" spans="1:44" s="1855" customFormat="1" ht="17.25" customHeight="1" hidden="1">
      <c r="A19" s="323"/>
      <c r="C19" s="322"/>
      <c s="2137"/>
      <c s="2166"/>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20" spans="1:44" s="1855" customFormat="1" ht="17.25" customHeight="1" hidden="1">
      <c r="A20" s="323"/>
      <c r="C20" s="322"/>
      <c s="2138"/>
      <c s="2167"/>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21" spans="1:44" s="1855" customFormat="1" ht="17.25" customHeight="1" hidden="1">
      <c r="A21" s="323"/>
      <c r="C21" s="322"/>
      <c s="2138"/>
      <c s="2167"/>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22" spans="1:44" s="1855" customFormat="1" ht="17.25" customHeight="1" hidden="1">
      <c r="A22" s="323"/>
      <c r="C22" s="322"/>
      <c s="2138"/>
      <c s="2167"/>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23" spans="1:44" s="1855" customFormat="1" ht="17.25" customHeight="1" hidden="1">
      <c r="A23" s="323"/>
      <c r="C23" s="211"/>
      <c s="2137">
        <v>2</v>
      </c>
      <c s="2145" t="s">
        <v>167</v>
      </c>
      <c s="2147" t="s">
        <v>19</v>
      </c>
      <c s="2145"/>
      <c s="2150"/>
      <c s="2152"/>
      <c s="2154"/>
      <c s="2139"/>
      <c s="2139"/>
      <c s="2139"/>
      <c s="2141"/>
      <c s="2139"/>
      <c s="2139"/>
      <c s="2139"/>
      <c s="2144"/>
      <c s="2139"/>
      <c s="2000"/>
      <c s="2000"/>
      <c s="2002"/>
      <c s="1298"/>
      <c s="1269"/>
      <c s="1269"/>
      <c s="1269"/>
      <c s="1269"/>
      <c s="1269"/>
      <c s="1269" t="s">
        <v>162</v>
      </c>
      <c s="1269" t="s">
        <v>163</v>
      </c>
      <c s="1269" t="s">
        <v>164</v>
      </c>
      <c s="1269" t="s">
        <v>165</v>
      </c>
      <c s="1269" t="s">
        <v>166</v>
      </c>
      <c s="1269" t="str">
        <f>IF($E$23=0,"",$E$23)</f>
        <v>Тарифы на тепловую энергию (мощность), поставляемую теплоснабжающими организациями потребителям, другим теплоснабжающим организациям</v>
      </c>
      <c s="1269" t="str">
        <f>IF($G$23=0,"",$G$23)</f>
        <v/>
      </c>
      <c s="1269" t="str">
        <f>IF($J$23=0,"",$J$23)</f>
        <v/>
      </c>
      <c s="1269" t="str">
        <f>IF($K$23="нет","без дифференциации",IF($N$23=0,"",$N$23))</f>
        <v/>
      </c>
      <c s="1269" t="str">
        <f>IF($O$23="нет","без дифференциации",IF($R$23=0,"",$R$23))</f>
        <v/>
      </c>
      <c s="1269" t="str">
        <f>IF($S$23="нет","без дифференциации",IF($V$23=0,"",$V$23))</f>
        <v/>
      </c>
      <c s="1774">
        <f>$I$23</f>
        <v>0</v>
      </c>
      <c s="1269" t="str">
        <f>$I$23&amp;"."&amp;$M$23</f>
        <v>.</v>
      </c>
      <c s="1268" t="str">
        <f>$I$23&amp;"."&amp;$M$23&amp;"."&amp;$Q$23</f>
        <v>..</v>
      </c>
      <c s="1268" t="str">
        <f>$I$23&amp;"."&amp;$M$23&amp;"."&amp;$Q$23&amp;"."&amp;$U$23</f>
        <v>...</v>
      </c>
      <c s="1469">
        <v>0</v>
      </c>
    </row>
    <row r="24" spans="1:44" s="1855" customFormat="1" ht="17.25" customHeight="1" hidden="1">
      <c r="A24" s="323"/>
      <c r="C24" s="322"/>
      <c s="2137"/>
      <c s="2145"/>
      <c s="2148"/>
      <c s="2145"/>
      <c s="2151"/>
      <c s="2153"/>
      <c s="2155"/>
      <c s="2140"/>
      <c s="2140"/>
      <c s="2140"/>
      <c s="2142"/>
      <c s="2140"/>
      <c s="2140"/>
      <c s="2140"/>
      <c s="2143"/>
      <c s="2140"/>
      <c s="2005"/>
      <c s="2005"/>
      <c s="2005"/>
      <c s="2006"/>
      <c s="1268"/>
      <c s="1268"/>
      <c s="1268"/>
      <c s="1268"/>
      <c s="1268"/>
      <c s="1268"/>
      <c s="1268"/>
      <c s="1268"/>
      <c s="1268"/>
      <c s="1268"/>
      <c s="1268"/>
      <c s="1268"/>
      <c s="1268"/>
      <c s="1268"/>
      <c s="1268"/>
      <c s="1268"/>
      <c s="1268"/>
      <c s="1268"/>
      <c s="1268"/>
      <c s="1268"/>
      <c s="1469">
        <v>0</v>
      </c>
    </row>
    <row r="25" spans="1:44" s="1855" customFormat="1" ht="17.25" customHeight="1" hidden="1">
      <c r="A25" s="323"/>
      <c r="C25" s="322"/>
      <c s="2138"/>
      <c s="2146"/>
      <c s="2148"/>
      <c s="2146"/>
      <c s="2151"/>
      <c s="2153"/>
      <c s="2156"/>
      <c s="2140"/>
      <c s="2140"/>
      <c s="2140"/>
      <c s="2143"/>
      <c s="2140"/>
      <c s="2001"/>
      <c s="2005"/>
      <c s="2005"/>
      <c s="331"/>
      <c s="331"/>
      <c s="331"/>
      <c s="331"/>
      <c s="2006"/>
      <c s="1268"/>
      <c s="1268"/>
      <c s="1268"/>
      <c s="1268"/>
      <c s="1268"/>
      <c s="1268"/>
      <c s="1268"/>
      <c s="1268"/>
      <c s="1268"/>
      <c s="1268"/>
      <c s="1268"/>
      <c s="1268"/>
      <c s="1268"/>
      <c s="1268"/>
      <c s="1268"/>
      <c s="1268"/>
      <c s="1268"/>
      <c s="1268"/>
      <c s="1268"/>
      <c s="1268"/>
      <c s="1469">
        <v>0</v>
      </c>
    </row>
    <row r="26" spans="1:44" s="1855" customFormat="1" ht="17.25" customHeight="1" hidden="1">
      <c r="A26" s="323"/>
      <c r="C26" s="322"/>
      <c s="2138"/>
      <c s="2146"/>
      <c s="2148"/>
      <c s="2146"/>
      <c s="2151"/>
      <c s="2153"/>
      <c s="2156"/>
      <c s="2140"/>
      <c s="2005"/>
      <c s="2005"/>
      <c s="2005"/>
      <c s="2005"/>
      <c s="2005"/>
      <c s="2005"/>
      <c s="2005"/>
      <c s="331"/>
      <c s="331"/>
      <c s="331"/>
      <c s="331"/>
      <c s="2006"/>
      <c s="1268"/>
      <c s="1268"/>
      <c s="1268"/>
      <c s="1268"/>
      <c s="1268"/>
      <c s="1268"/>
      <c s="1268"/>
      <c s="1268"/>
      <c s="1268"/>
      <c s="1268"/>
      <c s="1268"/>
      <c s="1268"/>
      <c s="1268"/>
      <c s="1268"/>
      <c s="1268"/>
      <c s="1268"/>
      <c s="1268"/>
      <c s="1268"/>
      <c s="1268"/>
      <c s="1268"/>
      <c s="1469">
        <v>0</v>
      </c>
    </row>
    <row r="27" spans="1:44" s="1855" customFormat="1" ht="17.25" customHeight="1" hidden="1">
      <c r="A27" s="323"/>
      <c r="C27" s="322"/>
      <c s="2138"/>
      <c s="2146"/>
      <c s="2149"/>
      <c s="2146"/>
      <c s="1301"/>
      <c s="2003"/>
      <c s="2003"/>
      <c s="2003"/>
      <c s="2003"/>
      <c s="2003"/>
      <c s="2003"/>
      <c s="2003"/>
      <c s="2003"/>
      <c s="2003"/>
      <c s="2003"/>
      <c s="1303"/>
      <c s="1303"/>
      <c s="1303"/>
      <c s="1303"/>
      <c s="2004"/>
      <c s="1268"/>
      <c s="1268"/>
      <c s="1268"/>
      <c s="1268"/>
      <c s="1268"/>
      <c s="1268"/>
      <c s="1268"/>
      <c s="1268"/>
      <c s="1268"/>
      <c s="1268"/>
      <c s="1268"/>
      <c s="1268"/>
      <c s="1268"/>
      <c s="1268"/>
      <c s="1268"/>
      <c s="1268"/>
      <c s="1268"/>
      <c s="1268"/>
      <c s="1268"/>
      <c s="1268"/>
      <c s="1469">
        <v>0</v>
      </c>
    </row>
    <row r="28" spans="1:44" s="1855" customFormat="1" ht="17.25" customHeight="1" hidden="1">
      <c r="A28" s="323"/>
      <c r="C28" s="211"/>
      <c s="2137">
        <v>3</v>
      </c>
      <c s="2145" t="s">
        <v>168</v>
      </c>
      <c s="2147" t="s">
        <v>19</v>
      </c>
      <c s="2145"/>
      <c s="2150"/>
      <c s="2152"/>
      <c s="2154"/>
      <c s="2139"/>
      <c s="2139"/>
      <c s="2139"/>
      <c s="2141"/>
      <c s="2139"/>
      <c s="2139"/>
      <c s="2139"/>
      <c s="2144"/>
      <c s="2139"/>
      <c s="1422"/>
      <c s="1422"/>
      <c s="1421"/>
      <c s="1298"/>
      <c s="1269"/>
      <c s="1269"/>
      <c s="1269"/>
      <c s="1269"/>
      <c s="1269"/>
      <c s="1269" t="s">
        <v>169</v>
      </c>
      <c s="1269" t="s">
        <v>170</v>
      </c>
      <c s="1269" t="s">
        <v>171</v>
      </c>
      <c s="1269" t="s">
        <v>172</v>
      </c>
      <c s="1269" t="s">
        <v>173</v>
      </c>
      <c s="1269" t="str">
        <f>IF($E$28=0,"",$E$28)</f>
        <v>Тарифы на теплоноситель, поставляемый теплоснабжающими организациями потребителям, другим теплоснабжающим организациям</v>
      </c>
      <c s="1269" t="str">
        <f>IF($G$28=0,"",$G$28)</f>
        <v/>
      </c>
      <c s="1269" t="str">
        <f>IF($J$28=0,"",$J$28)</f>
        <v/>
      </c>
      <c s="1269" t="str">
        <f>IF($K$28="нет","без дифференциации",IF($N$28=0,"",$N$28))</f>
        <v/>
      </c>
      <c s="1269" t="str">
        <f>IF($O$28="нет","без дифференциации",IF($R$28=0,"",$R$28))</f>
        <v/>
      </c>
      <c s="1269" t="str">
        <f>IF($S$28="нет","без дифференциации",IF($V$28=0,"",$V$28))</f>
        <v/>
      </c>
      <c s="1774">
        <f>$I$28</f>
        <v>0</v>
      </c>
      <c s="1269" t="str">
        <f>$I$28&amp;"."&amp;$M$28</f>
        <v>.</v>
      </c>
      <c s="1261" t="str">
        <f>$I$28&amp;"."&amp;$M$28&amp;"."&amp;$Q$28</f>
        <v>..</v>
      </c>
      <c s="1261" t="str">
        <f>$I$28&amp;"."&amp;$M$28&amp;"."&amp;$Q$28&amp;"."&amp;$U$28</f>
        <v>...</v>
      </c>
      <c s="1285">
        <v>0</v>
      </c>
    </row>
    <row r="29" spans="1:44" s="1855" customFormat="1" ht="17.25" customHeight="1" hidden="1">
      <c r="A29" s="323"/>
      <c r="C29"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30" spans="1:44" s="1855" customFormat="1" ht="17.25" customHeight="1" hidden="1">
      <c r="A30" s="323"/>
      <c r="C30"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31" spans="1:44" s="1855" customFormat="1" ht="17.25" customHeight="1" hidden="1">
      <c r="A31" s="323"/>
      <c r="C31"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32" spans="1:44" s="1855" customFormat="1" ht="17.25" customHeight="1" hidden="1">
      <c r="A32" s="323"/>
      <c r="C32"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33" spans="1:44" s="1855" customFormat="1" ht="17.25" customHeight="1" hidden="1">
      <c r="A33" s="323"/>
      <c r="C33" s="211"/>
      <c s="2137">
        <v>4</v>
      </c>
      <c s="2145" t="s">
        <v>174</v>
      </c>
      <c s="2147" t="s">
        <v>19</v>
      </c>
      <c s="2145"/>
      <c s="2150"/>
      <c s="2152"/>
      <c s="2154"/>
      <c s="2139"/>
      <c s="2139"/>
      <c s="2139"/>
      <c s="2141"/>
      <c s="2139"/>
      <c s="2139"/>
      <c s="2139"/>
      <c s="2144"/>
      <c s="2139"/>
      <c s="1422"/>
      <c s="1422"/>
      <c s="1421"/>
      <c s="1298"/>
      <c s="1269"/>
      <c s="1269"/>
      <c s="1269"/>
      <c s="1269"/>
      <c s="1269"/>
      <c s="1269" t="s">
        <v>175</v>
      </c>
      <c s="1269" t="s">
        <v>176</v>
      </c>
      <c s="1269" t="s">
        <v>177</v>
      </c>
      <c s="1269" t="s">
        <v>178</v>
      </c>
      <c s="1269" t="s">
        <v>179</v>
      </c>
      <c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9" t="str">
        <f>IF($G$33=0,"",$G$33)</f>
        <v/>
      </c>
      <c s="1269" t="str">
        <f>IF($J$33=0,"",$J$33)</f>
        <v/>
      </c>
      <c s="1269" t="str">
        <f>IF($K$33="нет","без дифференциации",IF($N$33=0,"",$N$33))</f>
        <v/>
      </c>
      <c s="1269" t="str">
        <f>IF($O$33="нет","без дифференциации",IF($R$33=0,"",$R$33))</f>
        <v/>
      </c>
      <c s="1269" t="str">
        <f>IF($S$33="нет","без дифференциации",IF($V$33=0,"",$V$33))</f>
        <v/>
      </c>
      <c s="1774">
        <f>$I$33</f>
        <v>0</v>
      </c>
      <c s="1269" t="str">
        <f>$I$33&amp;"."&amp;$M$33</f>
        <v>.</v>
      </c>
      <c s="1261" t="str">
        <f>$I$33&amp;"."&amp;$M$33&amp;"."&amp;$Q$33</f>
        <v>..</v>
      </c>
      <c s="1261" t="str">
        <f>$I$33&amp;"."&amp;$M$33&amp;"."&amp;$Q$33&amp;"."&amp;$U$33</f>
        <v>...</v>
      </c>
      <c s="1285">
        <v>0</v>
      </c>
    </row>
    <row r="34" spans="1:44" s="1855" customFormat="1" ht="17.25" customHeight="1" hidden="1">
      <c r="A34" s="323"/>
      <c r="C3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35" spans="1:44" s="1855" customFormat="1" ht="17.25" customHeight="1" hidden="1">
      <c r="A35" s="323"/>
      <c r="C35"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36" spans="1:44" s="1855" customFormat="1" ht="17.25" customHeight="1" hidden="1">
      <c r="A36" s="323"/>
      <c r="C36"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37" spans="1:44" s="1855" customFormat="1" ht="17.25" customHeight="1" hidden="1">
      <c r="A37" s="323"/>
      <c r="C3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38" spans="1:44" s="1855" customFormat="1" ht="17.25" customHeight="1" hidden="1">
      <c r="A38" s="323"/>
      <c r="C38" s="211"/>
      <c s="2137">
        <v>5</v>
      </c>
      <c s="2145" t="s">
        <v>180</v>
      </c>
      <c s="2147" t="s">
        <v>19</v>
      </c>
      <c s="2145"/>
      <c s="2150"/>
      <c s="2152"/>
      <c s="2154"/>
      <c s="2139"/>
      <c s="2139"/>
      <c s="2139"/>
      <c s="2141"/>
      <c s="2139"/>
      <c s="2139"/>
      <c s="2139"/>
      <c s="2144"/>
      <c s="2139"/>
      <c s="1422"/>
      <c s="1422"/>
      <c s="1421"/>
      <c s="1298"/>
      <c s="1269"/>
      <c s="1269"/>
      <c s="1269"/>
      <c s="1269"/>
      <c s="1269"/>
      <c s="1269" t="s">
        <v>181</v>
      </c>
      <c s="1269" t="s">
        <v>182</v>
      </c>
      <c s="1269" t="s">
        <v>183</v>
      </c>
      <c s="1269" t="s">
        <v>184</v>
      </c>
      <c s="1269" t="s">
        <v>185</v>
      </c>
      <c s="1269" t="str">
        <f>IF($E$38=0,"",$E$38)</f>
        <v>Тарифы на услуги по передаче тепловой энергии</v>
      </c>
      <c s="1269" t="str">
        <f>IF($G$38=0,"",$G$38)</f>
        <v/>
      </c>
      <c s="1269" t="str">
        <f>IF($J$38=0,"",$J$38)</f>
        <v/>
      </c>
      <c s="1269" t="str">
        <f>IF($K$38="нет","без дифференциации",IF($N$38=0,"",$N$38))</f>
        <v/>
      </c>
      <c s="1269" t="str">
        <f>IF($O$38="нет","без дифференциации",IF($R$38=0,"",$R$38))</f>
        <v/>
      </c>
      <c s="1269" t="str">
        <f>IF($S$38="нет","без дифференциации",IF($V$38=0,"",$V$38))</f>
        <v/>
      </c>
      <c s="1774">
        <f>$I$38</f>
        <v>0</v>
      </c>
      <c s="1269" t="str">
        <f>$I$38&amp;"."&amp;$M$38</f>
        <v>.</v>
      </c>
      <c s="1261" t="str">
        <f>$I$38&amp;"."&amp;$M$38&amp;"."&amp;$Q$38</f>
        <v>..</v>
      </c>
      <c s="1261" t="str">
        <f>$I$38&amp;"."&amp;$M$38&amp;"."&amp;$Q$38&amp;"."&amp;$U$38</f>
        <v>...</v>
      </c>
      <c s="1285">
        <v>0</v>
      </c>
    </row>
    <row r="39" spans="1:44" s="1855" customFormat="1" ht="17.25" customHeight="1" hidden="1">
      <c r="A39" s="323"/>
      <c r="C39"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40" spans="1:44" s="1855" customFormat="1" ht="17.25" customHeight="1" hidden="1">
      <c r="A40" s="323"/>
      <c r="C40"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41" spans="1:44" s="1855" customFormat="1" ht="17.25" customHeight="1" hidden="1">
      <c r="A41" s="323"/>
      <c r="C41"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42" spans="1:44" s="1855" customFormat="1" ht="17.25" customHeight="1" hidden="1">
      <c r="A42" s="323"/>
      <c r="C42"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43" spans="1:44" s="1855" customFormat="1" ht="17.25" customHeight="1" hidden="1">
      <c r="A43" s="323"/>
      <c r="C43" s="211"/>
      <c s="2137">
        <v>6</v>
      </c>
      <c s="2145" t="s">
        <v>186</v>
      </c>
      <c s="2147" t="s">
        <v>19</v>
      </c>
      <c s="2145"/>
      <c s="2150"/>
      <c s="2152"/>
      <c s="2154"/>
      <c s="2139"/>
      <c s="2139"/>
      <c s="2139"/>
      <c s="2141"/>
      <c s="2139"/>
      <c s="2139"/>
      <c s="2139"/>
      <c s="2144"/>
      <c s="2139"/>
      <c s="1422"/>
      <c s="1422"/>
      <c s="1421"/>
      <c s="1298"/>
      <c s="1269"/>
      <c s="1269"/>
      <c s="1269"/>
      <c s="1269"/>
      <c s="1269"/>
      <c s="1269" t="s">
        <v>187</v>
      </c>
      <c s="1269" t="s">
        <v>188</v>
      </c>
      <c s="1269" t="s">
        <v>189</v>
      </c>
      <c s="1269" t="s">
        <v>190</v>
      </c>
      <c s="1269" t="s">
        <v>191</v>
      </c>
      <c s="1269" t="str">
        <f>IF($E$43=0,"",$E$43)</f>
        <v>Тарифы на услуги по передаче теплоносителя</v>
      </c>
      <c s="1269" t="str">
        <f>IF($G$43=0,"",$G$43)</f>
        <v/>
      </c>
      <c s="1269" t="str">
        <f>IF($J$43=0,"",$J$43)</f>
        <v/>
      </c>
      <c s="1269" t="str">
        <f>IF($K$43="нет","без дифференциации",IF($N$43=0,"",$N$43))</f>
        <v/>
      </c>
      <c s="1269" t="str">
        <f>IF($O$43="нет","без дифференциации",IF($R$43=0,"",$R$43))</f>
        <v/>
      </c>
      <c s="1269" t="str">
        <f>IF($S$43="нет","без дифференциации",IF($V$43=0,"",$V$43))</f>
        <v/>
      </c>
      <c s="1774">
        <f>$I$43</f>
        <v>0</v>
      </c>
      <c s="1269" t="str">
        <f>$I$43&amp;"."&amp;$M$43</f>
        <v>.</v>
      </c>
      <c s="1261" t="str">
        <f>$I$43&amp;"."&amp;$M$43&amp;"."&amp;$Q$43</f>
        <v>..</v>
      </c>
      <c s="1261" t="str">
        <f>$I$43&amp;"."&amp;$M$43&amp;"."&amp;$Q$43&amp;"."&amp;$U$43</f>
        <v>...</v>
      </c>
      <c s="1285">
        <v>0</v>
      </c>
    </row>
    <row r="44" spans="1:44" s="1855" customFormat="1" ht="17.25" customHeight="1" hidden="1">
      <c r="A44" s="323"/>
      <c r="C4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45" spans="1:44" s="1855" customFormat="1" ht="17.25" customHeight="1" hidden="1">
      <c r="A45" s="323"/>
      <c r="C45"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46" spans="1:44" s="1855" customFormat="1" ht="17.25" customHeight="1" hidden="1">
      <c r="A46" s="323"/>
      <c r="C46" s="211"/>
      <c s="2138"/>
      <c s="2146"/>
      <c s="2148"/>
      <c s="2146"/>
      <c s="2151"/>
      <c s="2153"/>
      <c s="2156"/>
      <c s="2140"/>
      <c s="1299"/>
      <c s="1299"/>
      <c s="1299"/>
      <c s="1299"/>
      <c s="1299"/>
      <c s="1299"/>
      <c s="1299"/>
      <c s="331"/>
      <c s="331"/>
      <c s="331"/>
      <c s="331"/>
      <c s="1300"/>
      <c r="Y46" s="1269"/>
      <c s="1269"/>
      <c s="1269"/>
      <c s="1269"/>
      <c s="1269"/>
      <c s="1269"/>
      <c s="1269"/>
      <c s="1269"/>
      <c s="1269"/>
      <c s="1269"/>
      <c s="1269"/>
      <c s="1269"/>
      <c s="1269"/>
      <c s="1269"/>
      <c s="1269"/>
      <c s="1269"/>
      <c s="1269"/>
      <c s="1269"/>
      <c s="1269"/>
      <c s="1328">
        <v>0</v>
      </c>
    </row>
    <row r="47" spans="1:44" s="1855" customFormat="1" ht="17.25" customHeight="1" hidden="1">
      <c r="A47" s="323"/>
      <c r="C4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48" spans="1:44" s="1855" customFormat="1" ht="17.25" customHeight="1" hidden="1">
      <c r="A48" s="323"/>
      <c r="C48" s="211"/>
      <c s="2168">
        <v>7</v>
      </c>
      <c s="2171" t="s">
        <v>192</v>
      </c>
      <c s="2147" t="s">
        <v>19</v>
      </c>
      <c s="2171"/>
      <c s="2150"/>
      <c s="2152"/>
      <c s="2154"/>
      <c s="2139"/>
      <c s="2139"/>
      <c s="2139"/>
      <c s="2141"/>
      <c s="2139"/>
      <c s="2139"/>
      <c s="2139"/>
      <c s="2144"/>
      <c s="2139"/>
      <c s="1422"/>
      <c s="1422"/>
      <c s="1421"/>
      <c s="1298"/>
      <c s="1269"/>
      <c s="1269"/>
      <c s="1269"/>
      <c s="1269"/>
      <c s="1269"/>
      <c s="1269" t="s">
        <v>193</v>
      </c>
      <c s="1269" t="s">
        <v>194</v>
      </c>
      <c s="1269" t="s">
        <v>195</v>
      </c>
      <c s="1269" t="s">
        <v>196</v>
      </c>
      <c s="1269" t="s">
        <v>197</v>
      </c>
      <c s="1269" t="str">
        <f>IF($E$48=0,"",$E$48)</f>
        <v>Плата за услуги по поддержанию резервной тепловой мощности при отсутствии потребления тепловой энергии</v>
      </c>
      <c s="1269" t="str">
        <f>IF($G$48=0,"",$G$48)</f>
        <v/>
      </c>
      <c s="1269" t="str">
        <f>IF($J$48=0,"",$J$48)</f>
        <v/>
      </c>
      <c s="1269" t="str">
        <f>IF($K$48="нет","без дифференциации",IF($N$48=0,"",$N$48))</f>
        <v/>
      </c>
      <c s="1269" t="str">
        <f>IF($O$48="нет","без дифференциации",IF($R$48=0,"",$R$48))</f>
        <v/>
      </c>
      <c s="1269" t="str">
        <f>IF($S$48="нет","без дифференциации",IF($V$48=0,"",$V$48))</f>
        <v/>
      </c>
      <c s="1774">
        <f>$I$48</f>
        <v>0</v>
      </c>
      <c s="1269" t="str">
        <f>$I$48&amp;"."&amp;$M$48</f>
        <v>.</v>
      </c>
      <c s="1261" t="str">
        <f>$I$48&amp;"."&amp;$M$48&amp;"."&amp;$Q$48</f>
        <v>..</v>
      </c>
      <c s="1261" t="str">
        <f>$I$48&amp;"."&amp;$M$48&amp;"."&amp;$Q$48&amp;"."&amp;$U$48</f>
        <v>...</v>
      </c>
      <c s="1310">
        <v>0</v>
      </c>
    </row>
    <row r="49" spans="1:44" s="1855" customFormat="1" ht="17.25" customHeight="1" hidden="1">
      <c r="A49" s="323"/>
      <c r="C49" s="322"/>
      <c s="2169"/>
      <c s="2172"/>
      <c s="2148"/>
      <c s="2172"/>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10">
        <v>0</v>
      </c>
    </row>
    <row r="50" spans="1:44" s="1855" customFormat="1" ht="17.25" customHeight="1" hidden="1">
      <c r="A50" s="323"/>
      <c r="C50" s="322"/>
      <c s="2169"/>
      <c s="2172"/>
      <c s="2148"/>
      <c s="2172"/>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310">
        <v>0</v>
      </c>
    </row>
    <row r="51" spans="1:44" s="1855" customFormat="1" ht="17.25" customHeight="1" hidden="1">
      <c r="A51" s="323"/>
      <c r="C51" s="211"/>
      <c s="2169"/>
      <c s="2172"/>
      <c s="2148"/>
      <c s="2172"/>
      <c s="2151"/>
      <c s="2153"/>
      <c s="2156"/>
      <c s="2140"/>
      <c s="1299"/>
      <c s="1299"/>
      <c s="1299"/>
      <c s="1299"/>
      <c s="1299"/>
      <c s="1299"/>
      <c s="1299"/>
      <c s="331"/>
      <c s="331"/>
      <c s="331"/>
      <c s="331"/>
      <c s="1300"/>
      <c r="Y51" s="1269"/>
      <c s="1269"/>
      <c s="1269"/>
      <c s="1269"/>
      <c s="1269"/>
      <c s="1269"/>
      <c s="1269"/>
      <c s="1269"/>
      <c s="1269"/>
      <c s="1269"/>
      <c s="1269"/>
      <c s="1269"/>
      <c s="1269"/>
      <c s="1269"/>
      <c s="1269"/>
      <c s="1269"/>
      <c s="1269"/>
      <c s="1269"/>
      <c s="1269"/>
      <c s="1328">
        <v>0</v>
      </c>
    </row>
    <row r="52" spans="1:44" s="1855" customFormat="1" ht="17.25" customHeight="1" hidden="1">
      <c r="A52" s="323"/>
      <c r="C52" s="322"/>
      <c s="2170"/>
      <c s="2173"/>
      <c s="2149"/>
      <c s="2173"/>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10">
        <v>0</v>
      </c>
    </row>
    <row r="53" spans="1:44" s="1855" customFormat="1" ht="17.25" customHeight="1" hidden="1">
      <c r="A53" s="323"/>
      <c r="C53" s="211"/>
      <c s="2137">
        <v>8</v>
      </c>
      <c s="2145" t="s">
        <v>198</v>
      </c>
      <c s="2147" t="s">
        <v>19</v>
      </c>
      <c s="2145"/>
      <c s="2150"/>
      <c s="2152"/>
      <c s="2154"/>
      <c s="2139"/>
      <c s="2139"/>
      <c s="2139"/>
      <c s="2141"/>
      <c s="2139"/>
      <c s="2139"/>
      <c s="2139"/>
      <c s="2144"/>
      <c s="2139"/>
      <c s="1472"/>
      <c s="1472"/>
      <c s="1474"/>
      <c s="1298"/>
      <c s="1269"/>
      <c s="1269"/>
      <c s="1269"/>
      <c s="1269"/>
      <c s="1269"/>
      <c s="1269" t="s">
        <v>199</v>
      </c>
      <c s="1269" t="s">
        <v>200</v>
      </c>
      <c s="1269" t="s">
        <v>201</v>
      </c>
      <c s="1269" t="s">
        <v>202</v>
      </c>
      <c s="1269" t="s">
        <v>203</v>
      </c>
      <c s="1269" t="str">
        <f>IF($E$53=0,"",$E$53)</f>
        <v>Плата за подключение (технологическое присоединение) к системе теплоснабжения</v>
      </c>
      <c s="1269" t="str">
        <f>IF($G$53=0,"",$G$53)</f>
        <v/>
      </c>
      <c s="1269" t="str">
        <f>IF($J$53=0,"",$J$53)</f>
        <v/>
      </c>
      <c s="1269" t="str">
        <f>IF($K$53="нет","без дифференциации",IF($N$53=0,"",$N$53))</f>
        <v/>
      </c>
      <c s="1269" t="str">
        <f>IF($O$53="нет","без дифференциации",IF($R$53=0,"",$R$53))</f>
        <v/>
      </c>
      <c s="1269" t="str">
        <f>IF($S$53="нет","без дифференциации",IF($V$53=0,"",$V$53))</f>
        <v/>
      </c>
      <c s="1774">
        <f>$I$53</f>
        <v>0</v>
      </c>
      <c s="1269" t="str">
        <f>$I$53&amp;"."&amp;$M$53</f>
        <v>.</v>
      </c>
      <c s="1261" t="str">
        <f>$I$53&amp;"."&amp;$M$53&amp;"."&amp;$Q$53</f>
        <v>..</v>
      </c>
      <c s="1261" t="str">
        <f>$I$53&amp;"."&amp;$M$53&amp;"."&amp;$Q$53&amp;"."&amp;$U$53</f>
        <v>...</v>
      </c>
      <c s="1310">
        <v>0</v>
      </c>
    </row>
    <row r="54" spans="1:44" s="1855" customFormat="1" ht="17.25" customHeight="1" hidden="1">
      <c r="A54" s="323"/>
      <c r="C5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10">
        <v>0</v>
      </c>
    </row>
    <row r="55" spans="1:44" s="1855" customFormat="1" ht="17.25" customHeight="1" hidden="1">
      <c r="A55" s="323"/>
      <c r="C55"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310">
        <v>0</v>
      </c>
    </row>
    <row r="56" spans="1:44" s="1855" customFormat="1" ht="17.25" customHeight="1" hidden="1">
      <c r="A56" s="323"/>
      <c r="C56" s="211"/>
      <c s="2138"/>
      <c s="2146"/>
      <c s="2148"/>
      <c s="2146"/>
      <c s="2151"/>
      <c s="2153"/>
      <c s="2156"/>
      <c s="2140"/>
      <c s="1299"/>
      <c s="1299"/>
      <c s="1299"/>
      <c s="1299"/>
      <c s="1299"/>
      <c s="1299"/>
      <c s="1299"/>
      <c s="331"/>
      <c s="331"/>
      <c s="331"/>
      <c s="331"/>
      <c s="1300"/>
      <c r="Y56" s="1269"/>
      <c s="1269"/>
      <c s="1269"/>
      <c s="1269"/>
      <c s="1269"/>
      <c s="1269"/>
      <c s="1269"/>
      <c s="1269"/>
      <c s="1269"/>
      <c s="1269"/>
      <c s="1269"/>
      <c s="1269"/>
      <c s="1269"/>
      <c s="1269"/>
      <c s="1269"/>
      <c s="1269"/>
      <c s="1269"/>
      <c s="1269"/>
      <c s="1269"/>
      <c s="1328">
        <v>0</v>
      </c>
    </row>
    <row r="57" spans="1:44" s="1855" customFormat="1" ht="17.25" customHeight="1" hidden="1">
      <c r="A57" s="323"/>
      <c r="C5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10">
        <v>0</v>
      </c>
    </row>
    <row r="58" spans="1:44" s="1855" customFormat="1" ht="17.25" customHeight="1" hidden="1">
      <c r="A58" s="323"/>
      <c r="C58" s="211"/>
      <c s="2137">
        <v>9</v>
      </c>
      <c s="2145" t="s">
        <v>204</v>
      </c>
      <c s="2147" t="s">
        <v>19</v>
      </c>
      <c s="2145"/>
      <c s="2150"/>
      <c s="2152"/>
      <c s="2154"/>
      <c s="2139"/>
      <c s="2139"/>
      <c s="2139"/>
      <c s="2141"/>
      <c s="2139"/>
      <c s="2139"/>
      <c s="2139"/>
      <c s="2144"/>
      <c s="2139"/>
      <c s="1933"/>
      <c s="1933"/>
      <c s="1935"/>
      <c s="1298"/>
      <c s="1269"/>
      <c s="1269"/>
      <c s="1269"/>
      <c s="1269"/>
      <c s="1269"/>
      <c s="1269" t="s">
        <v>205</v>
      </c>
      <c s="1269" t="s">
        <v>206</v>
      </c>
      <c s="1269" t="s">
        <v>207</v>
      </c>
      <c s="1269" t="s">
        <v>208</v>
      </c>
      <c s="1269" t="s">
        <v>209</v>
      </c>
      <c s="1269" t="str">
        <f>IF($E$58=0,"",$E$58)</f>
        <v>Плата за подключение (технологическое присоединение) к системе теплоснабжения (индивидуальная)</v>
      </c>
      <c s="1269" t="str">
        <f>IF($G$58=0,"",$G$58)</f>
        <v/>
      </c>
      <c s="1269" t="str">
        <f>IF($J$58=0,"",$J$58)</f>
        <v/>
      </c>
      <c s="1269" t="str">
        <f>IF($K$58="нет","без дифференциации",IF($N$58=0,"",$N$58))</f>
        <v/>
      </c>
      <c s="1269" t="str">
        <f>IF($O$58="нет","без дифференциации",IF($R$58=0,"",$R$58))</f>
        <v/>
      </c>
      <c s="1269" t="str">
        <f>IF($S$58="нет","без дифференциации",IF($V$58=0,"",$V$58))</f>
        <v/>
      </c>
      <c s="1774">
        <f>$I$58</f>
        <v>0</v>
      </c>
      <c s="1269" t="str">
        <f>$I$58&amp;"."&amp;$M$58</f>
        <v>.</v>
      </c>
      <c s="1268" t="str">
        <f>$I$58&amp;"."&amp;$M$58&amp;"."&amp;$Q$58</f>
        <v>..</v>
      </c>
      <c s="1268" t="str">
        <f>$I$58&amp;"."&amp;$M$58&amp;"."&amp;$Q$58&amp;"."&amp;$U$58</f>
        <v>...</v>
      </c>
      <c s="1469">
        <v>0</v>
      </c>
    </row>
    <row r="59" spans="1:44" s="1855" customFormat="1" ht="17.25" customHeight="1" hidden="1">
      <c r="A59" s="323"/>
      <c r="C59" s="322"/>
      <c s="2137"/>
      <c s="2145"/>
      <c s="2148"/>
      <c s="2145"/>
      <c s="2151"/>
      <c s="2153"/>
      <c s="2155"/>
      <c s="2140"/>
      <c s="2140"/>
      <c s="2140"/>
      <c s="2142"/>
      <c s="2140"/>
      <c s="2140"/>
      <c s="2140"/>
      <c s="2143"/>
      <c s="2140"/>
      <c s="1936"/>
      <c s="1936"/>
      <c s="1936"/>
      <c s="1937"/>
      <c s="1268"/>
      <c s="1268"/>
      <c s="1268"/>
      <c s="1268"/>
      <c s="1268"/>
      <c s="1268"/>
      <c s="1268"/>
      <c s="1268"/>
      <c s="1268"/>
      <c s="1268"/>
      <c s="1268"/>
      <c s="1268"/>
      <c s="1268"/>
      <c s="1268"/>
      <c s="1268"/>
      <c s="1268"/>
      <c s="1268"/>
      <c s="1268"/>
      <c s="1268"/>
      <c s="1268"/>
      <c s="1469">
        <v>0</v>
      </c>
    </row>
    <row r="60" spans="1:44" s="1855" customFormat="1" ht="17.25" customHeight="1" hidden="1">
      <c r="A60" s="323"/>
      <c r="C60" s="322"/>
      <c s="2138"/>
      <c s="2146"/>
      <c s="2148"/>
      <c s="2146"/>
      <c s="2151"/>
      <c s="2153"/>
      <c s="2156"/>
      <c s="2140"/>
      <c s="2140"/>
      <c s="2140"/>
      <c s="2143"/>
      <c s="2140"/>
      <c s="1934"/>
      <c s="1936"/>
      <c s="1936"/>
      <c s="331"/>
      <c s="331"/>
      <c s="331"/>
      <c s="331"/>
      <c s="1937"/>
      <c s="1268"/>
      <c s="1268"/>
      <c s="1268"/>
      <c s="1268"/>
      <c s="1268"/>
      <c s="1268"/>
      <c s="1268"/>
      <c s="1268"/>
      <c s="1268"/>
      <c s="1268"/>
      <c s="1268"/>
      <c s="1268"/>
      <c s="1268"/>
      <c s="1268"/>
      <c s="1268"/>
      <c s="1268"/>
      <c s="1268"/>
      <c s="1268"/>
      <c s="1268"/>
      <c s="1268"/>
      <c s="1469">
        <v>0</v>
      </c>
    </row>
    <row r="61" spans="1:44" s="1855" customFormat="1" ht="17.25" customHeight="1" hidden="1">
      <c r="A61" s="323"/>
      <c r="C61" s="211"/>
      <c s="2138"/>
      <c s="2146"/>
      <c s="2148"/>
      <c s="2146"/>
      <c s="2151"/>
      <c s="2153"/>
      <c s="2156"/>
      <c s="2140"/>
      <c s="1936"/>
      <c s="1936"/>
      <c s="1936"/>
      <c s="1936"/>
      <c s="1936"/>
      <c s="1936"/>
      <c s="1936"/>
      <c s="331"/>
      <c s="331"/>
      <c s="331"/>
      <c s="331"/>
      <c s="1937"/>
      <c r="Y61" s="1269"/>
      <c s="1269"/>
      <c s="1269"/>
      <c s="1269"/>
      <c s="1269"/>
      <c s="1269"/>
      <c s="1269"/>
      <c s="1269"/>
      <c s="1269"/>
      <c s="1269"/>
      <c s="1269"/>
      <c s="1269"/>
      <c s="1269"/>
      <c s="1269"/>
      <c s="1269"/>
      <c s="1269"/>
      <c s="1269"/>
      <c s="1269"/>
      <c s="1269"/>
      <c s="1469">
        <v>0</v>
      </c>
    </row>
    <row r="62" spans="1:44" s="1855" customFormat="1" ht="17.25" customHeight="1" hidden="1">
      <c r="A62" s="323"/>
      <c r="C62" s="322"/>
      <c s="2138"/>
      <c s="2146"/>
      <c s="2149"/>
      <c s="2146"/>
      <c s="1301"/>
      <c s="1938"/>
      <c s="1938"/>
      <c s="1938"/>
      <c s="1938"/>
      <c s="1938"/>
      <c s="1938"/>
      <c s="1938"/>
      <c s="1938"/>
      <c s="1938"/>
      <c s="1938"/>
      <c s="1303"/>
      <c s="1303"/>
      <c s="1303"/>
      <c s="1303"/>
      <c s="1939"/>
      <c s="1268"/>
      <c s="1268"/>
      <c s="1268"/>
      <c s="1268"/>
      <c s="1268"/>
      <c s="1268"/>
      <c s="1268"/>
      <c s="1268"/>
      <c s="1268"/>
      <c s="1268"/>
      <c s="1268"/>
      <c s="1268"/>
      <c s="1268"/>
      <c s="1268"/>
      <c s="1268"/>
      <c s="1268"/>
      <c s="1268"/>
      <c s="1268"/>
      <c s="1268"/>
      <c s="1268"/>
      <c s="1469">
        <v>0</v>
      </c>
    </row>
    <row r="63" spans="1:44" s="1855" customFormat="1" ht="17.25" customHeight="1" hidden="1">
      <c r="A63" s="323"/>
      <c r="C63" s="211"/>
      <c s="2137">
        <v>10</v>
      </c>
      <c s="2145" t="s">
        <v>210</v>
      </c>
      <c s="2147" t="s">
        <v>19</v>
      </c>
      <c s="2145"/>
      <c s="2150"/>
      <c s="2152"/>
      <c s="2154"/>
      <c s="2139"/>
      <c s="2139"/>
      <c s="2139"/>
      <c s="2141"/>
      <c s="2139"/>
      <c s="2139"/>
      <c s="2139"/>
      <c s="2144"/>
      <c s="2139"/>
      <c s="1933"/>
      <c s="1933"/>
      <c s="1935"/>
      <c s="1298"/>
      <c s="1269"/>
      <c s="1269"/>
      <c s="1269"/>
      <c s="1269"/>
      <c s="1269"/>
      <c s="1269" t="s">
        <v>211</v>
      </c>
      <c s="1269" t="s">
        <v>212</v>
      </c>
      <c s="1269" t="s">
        <v>213</v>
      </c>
      <c s="1269" t="s">
        <v>214</v>
      </c>
      <c s="1269" t="s">
        <v>215</v>
      </c>
      <c s="1269" t="str">
        <f>IF($E$63=0,"",$E$63)</f>
        <v>Предельный уровень цены на тепловую энергию (мощность), поставляемую теплоснабжающими организациями потребителям</v>
      </c>
      <c s="1269" t="str">
        <f>IF($G$63=0,"",$G$63)</f>
        <v/>
      </c>
      <c s="1269" t="str">
        <f>IF($J$63=0,"",$J$63)</f>
        <v/>
      </c>
      <c s="1269" t="str">
        <f>IF($K$63="нет","без дифференциации",IF($N$63=0,"",$N$63))</f>
        <v/>
      </c>
      <c s="1269" t="str">
        <f>IF($O$63="нет","без дифференциации",IF($R$63=0,"",$R$63))</f>
        <v/>
      </c>
      <c s="1269" t="str">
        <f>IF($S$63="нет","без дифференциации",IF($V$63=0,"",$V$63))</f>
        <v/>
      </c>
      <c s="1774">
        <f>$I$63</f>
        <v>0</v>
      </c>
      <c s="1269" t="str">
        <f>$I$63&amp;"."&amp;$M$63</f>
        <v>.</v>
      </c>
      <c s="1268" t="str">
        <f>$I$63&amp;"."&amp;$M$63&amp;"."&amp;$Q$63</f>
        <v>..</v>
      </c>
      <c s="1268" t="str">
        <f>$I$63&amp;"."&amp;$M$63&amp;"."&amp;$Q$63&amp;"."&amp;$U$63</f>
        <v>...</v>
      </c>
      <c s="1469">
        <v>0</v>
      </c>
    </row>
    <row r="64" spans="1:44" s="1855" customFormat="1" ht="17.25" customHeight="1" hidden="1">
      <c r="A64" s="323"/>
      <c r="C64" s="322"/>
      <c s="2137"/>
      <c s="2145"/>
      <c s="2148"/>
      <c s="2145"/>
      <c s="2151"/>
      <c s="2153"/>
      <c s="2155"/>
      <c s="2140"/>
      <c s="2140"/>
      <c s="2140"/>
      <c s="2142"/>
      <c s="2140"/>
      <c s="2140"/>
      <c s="2140"/>
      <c s="2143"/>
      <c s="2140"/>
      <c s="1936"/>
      <c s="1936"/>
      <c s="1936"/>
      <c s="1937"/>
      <c s="1268"/>
      <c s="1268"/>
      <c s="1268"/>
      <c s="1268"/>
      <c s="1268"/>
      <c s="1268"/>
      <c s="1268"/>
      <c s="1268"/>
      <c s="1268"/>
      <c s="1268"/>
      <c s="1268"/>
      <c s="1268"/>
      <c s="1268"/>
      <c s="1268"/>
      <c s="1268"/>
      <c s="1268"/>
      <c s="1268"/>
      <c s="1268"/>
      <c s="1268"/>
      <c s="1268"/>
      <c s="1469">
        <v>0</v>
      </c>
    </row>
    <row r="65" spans="1:44" s="1855" customFormat="1" ht="17.25" customHeight="1" hidden="1">
      <c r="A65" s="323"/>
      <c r="C65" s="322"/>
      <c s="2138"/>
      <c s="2146"/>
      <c s="2148"/>
      <c s="2146"/>
      <c s="2151"/>
      <c s="2153"/>
      <c s="2156"/>
      <c s="2140"/>
      <c s="2140"/>
      <c s="2140"/>
      <c s="2143"/>
      <c s="2140"/>
      <c s="1934"/>
      <c s="1936"/>
      <c s="1936"/>
      <c s="331"/>
      <c s="331"/>
      <c s="331"/>
      <c s="331"/>
      <c s="1937"/>
      <c s="1268"/>
      <c s="1268"/>
      <c s="1268"/>
      <c s="1268"/>
      <c s="1268"/>
      <c s="1268"/>
      <c s="1268"/>
      <c s="1268"/>
      <c s="1268"/>
      <c s="1268"/>
      <c s="1268"/>
      <c s="1268"/>
      <c s="1268"/>
      <c s="1268"/>
      <c s="1268"/>
      <c s="1268"/>
      <c s="1268"/>
      <c s="1268"/>
      <c s="1268"/>
      <c s="1268"/>
      <c s="1469">
        <v>0</v>
      </c>
    </row>
    <row r="66" spans="1:44" s="1855" customFormat="1" ht="17.25" customHeight="1" hidden="1">
      <c r="A66" s="323"/>
      <c r="C66" s="211"/>
      <c s="2138"/>
      <c s="2146"/>
      <c s="2148"/>
      <c s="2146"/>
      <c s="2151"/>
      <c s="2153"/>
      <c s="2156"/>
      <c s="2140"/>
      <c s="1936"/>
      <c s="1936"/>
      <c s="1936"/>
      <c s="1936"/>
      <c s="1936"/>
      <c s="1936"/>
      <c s="1936"/>
      <c s="331"/>
      <c s="331"/>
      <c s="331"/>
      <c s="331"/>
      <c s="1937"/>
      <c r="Y66" s="1269"/>
      <c s="1269"/>
      <c s="1269"/>
      <c s="1269"/>
      <c s="1269"/>
      <c s="1269"/>
      <c s="1269"/>
      <c s="1269"/>
      <c s="1269"/>
      <c s="1269"/>
      <c s="1269"/>
      <c s="1269"/>
      <c s="1269"/>
      <c s="1269"/>
      <c s="1269"/>
      <c s="1269"/>
      <c s="1269"/>
      <c s="1269"/>
      <c s="1269"/>
      <c s="1469">
        <v>0</v>
      </c>
    </row>
    <row r="67" spans="1:44" s="1855" customFormat="1" ht="17.25" customHeight="1" hidden="1">
      <c r="A67" s="323"/>
      <c r="C67" s="322"/>
      <c s="2138"/>
      <c s="2146"/>
      <c s="2149"/>
      <c s="2146"/>
      <c s="1301"/>
      <c s="1938"/>
      <c s="1938"/>
      <c s="1938"/>
      <c s="1938"/>
      <c s="1938"/>
      <c s="1938"/>
      <c s="1938"/>
      <c s="1938"/>
      <c s="1938"/>
      <c s="1938"/>
      <c s="1303"/>
      <c s="1303"/>
      <c s="1303"/>
      <c s="1303"/>
      <c s="1939"/>
      <c s="1268"/>
      <c s="1268"/>
      <c s="1268"/>
      <c s="1268"/>
      <c s="1268"/>
      <c s="1268"/>
      <c s="1268"/>
      <c s="1268"/>
      <c s="1268"/>
      <c s="1268"/>
      <c s="1268"/>
      <c s="1268"/>
      <c s="1268"/>
      <c s="1268"/>
      <c s="1268"/>
      <c s="1268"/>
      <c s="1268"/>
      <c s="1268"/>
      <c s="1268"/>
      <c s="1268"/>
      <c s="1469">
        <v>0</v>
      </c>
    </row>
    <row r="68" spans="44:44" ht="11.25" customHeight="1" hidden="1">
      <c r="AR68" s="106">
        <v>0</v>
      </c>
    </row>
    <row r="69" spans="5:44" ht="11.25" customHeight="1" hidden="1">
      <c r="E69" s="2176" t="s">
        <v>216</v>
      </c>
      <c s="2176"/>
      <c s="2176"/>
      <c s="2176"/>
      <c s="2176"/>
      <c s="2176"/>
      <c s="2176"/>
      <c s="2176"/>
      <c s="2176"/>
      <c s="2176"/>
      <c s="2176"/>
      <c s="2176"/>
      <c s="2176"/>
      <c s="2176"/>
      <c s="2176"/>
      <c s="2176"/>
      <c s="2176"/>
      <c s="2176"/>
      <c s="2176"/>
      <c r="AR69" s="106">
        <v>0</v>
      </c>
    </row>
    <row r="70" spans="5:44" ht="36.75" customHeight="1" hidden="1">
      <c r="E70" s="2174" t="s">
        <v>217</v>
      </c>
      <c s="2174"/>
      <c s="2175"/>
      <c s="2175"/>
      <c s="2175"/>
      <c s="2175"/>
      <c s="2175"/>
      <c s="2175"/>
      <c s="2175"/>
      <c s="2175"/>
      <c s="2175"/>
      <c s="2175"/>
      <c s="2175"/>
      <c s="2175"/>
      <c s="2175"/>
      <c s="2175"/>
      <c s="2175"/>
      <c s="2175"/>
      <c s="2175"/>
      <c r="AR70" s="106">
        <v>0</v>
      </c>
    </row>
    <row r="71" spans="5:44" ht="28.5" customHeight="1" hidden="1">
      <c r="E71" s="2174" t="s">
        <v>218</v>
      </c>
      <c s="2174"/>
      <c s="2175"/>
      <c s="2175"/>
      <c s="2175"/>
      <c s="2175"/>
      <c s="2175"/>
      <c s="2175"/>
      <c s="2175"/>
      <c s="2175"/>
      <c s="2175"/>
      <c s="2175"/>
      <c s="2175"/>
      <c s="2175"/>
      <c s="2175"/>
      <c s="2175"/>
      <c s="2175"/>
      <c s="2175"/>
      <c s="2175"/>
      <c r="AR71" s="106">
        <v>0</v>
      </c>
    </row>
    <row r="72" spans="5:44" ht="27" customHeight="1" hidden="1">
      <c r="E72" s="2174" t="s">
        <v>219</v>
      </c>
      <c s="2174"/>
      <c s="2175"/>
      <c s="2175"/>
      <c s="2175"/>
      <c s="2175"/>
      <c s="2175"/>
      <c s="2175"/>
      <c s="2175"/>
      <c s="2175"/>
      <c s="2175"/>
      <c s="2175"/>
      <c s="2175"/>
      <c s="2175"/>
      <c s="2175"/>
      <c s="2175"/>
      <c s="2175"/>
      <c s="2175"/>
      <c s="2175"/>
      <c r="AR72" s="106">
        <v>0</v>
      </c>
    </row>
    <row r="73" spans="5:44" ht="17.25" customHeight="1" hidden="1">
      <c r="E73" s="2174" t="s">
        <v>220</v>
      </c>
      <c s="2174"/>
      <c s="2175"/>
      <c s="2175"/>
      <c s="2175"/>
      <c s="2175"/>
      <c s="2175"/>
      <c s="2175"/>
      <c s="2175"/>
      <c s="2175"/>
      <c s="2175"/>
      <c s="2175"/>
      <c s="2175"/>
      <c s="2175"/>
      <c s="2175"/>
      <c s="2175"/>
      <c s="2175"/>
      <c s="2175"/>
      <c s="2175"/>
      <c r="AR73" s="106">
        <v>0</v>
      </c>
    </row>
    <row r="74" spans="5:44" ht="15" customHeight="1" hidden="1">
      <c r="E74" s="342"/>
      <c s="1287"/>
      <c s="159"/>
      <c s="159"/>
      <c s="159"/>
      <c s="159"/>
      <c s="159"/>
      <c s="159"/>
      <c s="159"/>
      <c s="159"/>
      <c s="159"/>
      <c s="159"/>
      <c s="159"/>
      <c s="159"/>
      <c s="159"/>
      <c s="159"/>
      <c s="159"/>
      <c s="159"/>
      <c s="159"/>
      <c r="AR74" s="106">
        <v>0</v>
      </c>
    </row>
    <row r="75" spans="5:44" ht="15" customHeight="1" hidden="1">
      <c r="E75" s="2176" t="s">
        <v>221</v>
      </c>
      <c s="2176"/>
      <c s="2176"/>
      <c s="2176"/>
      <c s="2176"/>
      <c s="2176"/>
      <c s="2176"/>
      <c s="2176"/>
      <c s="2176"/>
      <c s="2176"/>
      <c s="2176"/>
      <c s="2176"/>
      <c s="2176"/>
      <c s="2176"/>
      <c s="2176"/>
      <c s="2176"/>
      <c s="2176"/>
      <c s="2176"/>
      <c s="2176"/>
      <c r="AR75" s="106">
        <v>0</v>
      </c>
    </row>
    <row r="76" spans="5:44" ht="17.25" customHeight="1" hidden="1">
      <c r="E76" s="2174" t="s">
        <v>222</v>
      </c>
      <c s="2174"/>
      <c s="2175"/>
      <c s="2175"/>
      <c s="2175"/>
      <c s="2175"/>
      <c s="2175"/>
      <c s="2175"/>
      <c s="2175"/>
      <c s="2175"/>
      <c s="2175"/>
      <c s="2175"/>
      <c s="2175"/>
      <c s="2175"/>
      <c s="2175"/>
      <c s="2175"/>
      <c s="2175"/>
      <c s="2175"/>
      <c s="2175"/>
      <c r="AR76" s="106">
        <v>0</v>
      </c>
    </row>
    <row r="77" spans="5:44" ht="17.25" customHeight="1" hidden="1">
      <c r="E77" s="2174" t="s">
        <v>223</v>
      </c>
      <c s="2174"/>
      <c s="2175"/>
      <c s="2175"/>
      <c s="2175"/>
      <c s="2175"/>
      <c s="2175"/>
      <c s="2175"/>
      <c s="2175"/>
      <c s="2175"/>
      <c s="2175"/>
      <c s="2175"/>
      <c s="2175"/>
      <c s="2175"/>
      <c s="2175"/>
      <c s="2175"/>
      <c s="2175"/>
      <c s="2175"/>
      <c s="2175"/>
      <c r="AR77" s="106">
        <v>0</v>
      </c>
    </row>
    <row r="78" spans="1:44" s="1855" customFormat="1" ht="11.25" customHeight="1" hidden="1">
      <c r="A78" s="279"/>
      <c s="279"/>
      <c r="Y78" s="1261"/>
      <c s="1261"/>
      <c s="1261"/>
      <c s="1261"/>
      <c s="1261"/>
      <c s="1261"/>
      <c s="1261"/>
      <c s="1261"/>
      <c s="1261"/>
      <c s="1261"/>
      <c s="1261"/>
      <c s="1261"/>
      <c s="1261"/>
      <c s="1261"/>
      <c s="1261"/>
      <c s="1261"/>
      <c s="1261"/>
      <c s="1261"/>
      <c s="1261"/>
      <c s="1352">
        <v>0</v>
      </c>
    </row>
    <row r="79" spans="1:44" s="1855" customFormat="1" ht="17.25" customHeight="1" hidden="1">
      <c r="A79" s="323"/>
      <c r="C79" s="211"/>
      <c s="2137">
        <v>1</v>
      </c>
      <c s="2145" t="s">
        <v>224</v>
      </c>
      <c s="2147" t="s">
        <v>19</v>
      </c>
      <c s="2145"/>
      <c s="2150"/>
      <c s="2152"/>
      <c s="2154"/>
      <c s="2139"/>
      <c s="2139"/>
      <c s="2139"/>
      <c s="2141"/>
      <c s="2139"/>
      <c s="2139"/>
      <c s="2139"/>
      <c s="2144"/>
      <c s="2139"/>
      <c s="1472"/>
      <c s="1472"/>
      <c s="1474"/>
      <c s="1298"/>
      <c r="Y79" s="1269"/>
      <c s="1269"/>
      <c s="1269"/>
      <c s="1269"/>
      <c s="1269" t="s">
        <v>225</v>
      </c>
      <c s="1269" t="s">
        <v>226</v>
      </c>
      <c s="1269" t="s">
        <v>227</v>
      </c>
      <c s="1269" t="s">
        <v>228</v>
      </c>
      <c s="1269"/>
      <c s="1269" t="str">
        <f>IF($E$79=0,"",$E$79)</f>
        <v>Тариф на питьевую воду (питьевое водоснабжение)</v>
      </c>
      <c s="1269" t="str">
        <f>IF($G$79=0,"",$G$79)</f>
        <v/>
      </c>
      <c s="1269" t="str">
        <f>IF($J$79=0,"",$J$79)</f>
        <v/>
      </c>
      <c s="1269" t="str">
        <f>IF($K$79="нет","без дифференциации",IF($N$79=0,"",$N$79))</f>
        <v/>
      </c>
      <c s="1269" t="str">
        <f>IF($O$79="нет","без дифференциации",IF($R$79=0,"",$R$79))</f>
        <v/>
      </c>
      <c s="1269" t="str">
        <f>IF($S$79="нет","без дифференциации",IF($V$79=0,"",$V$79))</f>
        <v/>
      </c>
      <c s="1269">
        <f>$I$79</f>
        <v>0</v>
      </c>
      <c s="1269" t="str">
        <f>$I$79&amp;"."&amp;$M$79</f>
        <v>.</v>
      </c>
      <c s="1269" t="str">
        <f>$I$79&amp;"."&amp;$M$79&amp;"."&amp;$Q$79</f>
        <v>..</v>
      </c>
      <c s="1269" t="str">
        <f>$I$79&amp;"."&amp;$M$79&amp;"."&amp;$Q$79&amp;"."&amp;$U$79</f>
        <v>...</v>
      </c>
      <c s="1352">
        <v>0</v>
      </c>
    </row>
    <row r="80" spans="1:44" s="1855" customFormat="1" ht="17.25" customHeight="1" hidden="1">
      <c r="A80" s="323"/>
      <c r="C80" s="322"/>
      <c s="2137"/>
      <c s="2145"/>
      <c s="2148"/>
      <c s="2145"/>
      <c s="2151"/>
      <c s="2153"/>
      <c s="2155"/>
      <c s="2140"/>
      <c s="2140"/>
      <c s="2140"/>
      <c s="2142"/>
      <c s="2140"/>
      <c s="2140"/>
      <c s="2140"/>
      <c s="2143"/>
      <c s="2140"/>
      <c s="1299"/>
      <c s="1299"/>
      <c s="1299"/>
      <c s="1300"/>
      <c r="Y80" s="1261"/>
      <c s="1261"/>
      <c s="1261"/>
      <c s="1261"/>
      <c s="1261"/>
      <c s="1261"/>
      <c s="1261"/>
      <c s="1261"/>
      <c s="1261"/>
      <c s="1261"/>
      <c s="1261"/>
      <c s="1261"/>
      <c s="1261"/>
      <c s="1261"/>
      <c s="1261"/>
      <c s="1261"/>
      <c s="1261"/>
      <c s="1261"/>
      <c s="1261"/>
      <c s="1352">
        <v>0</v>
      </c>
    </row>
    <row r="81" spans="1:44" s="1855" customFormat="1" ht="17.25" customHeight="1" hidden="1">
      <c r="A81" s="323"/>
      <c r="C81" s="211"/>
      <c s="2137"/>
      <c s="2145"/>
      <c s="2148"/>
      <c s="2145"/>
      <c s="2151"/>
      <c s="2153"/>
      <c s="2156"/>
      <c s="2140"/>
      <c s="2140"/>
      <c s="2140"/>
      <c s="2143"/>
      <c s="2140"/>
      <c s="1473"/>
      <c s="1299"/>
      <c s="1299"/>
      <c s="331"/>
      <c s="331"/>
      <c s="331"/>
      <c s="331"/>
      <c s="1300"/>
      <c r="Y81" s="1269"/>
      <c s="1269"/>
      <c s="1269"/>
      <c s="1269"/>
      <c s="1269"/>
      <c s="1269"/>
      <c s="1269"/>
      <c s="1269"/>
      <c s="1269"/>
      <c s="1269"/>
      <c s="1269"/>
      <c s="1269"/>
      <c s="1269"/>
      <c s="1269"/>
      <c s="1269"/>
      <c s="1269"/>
      <c s="1269"/>
      <c s="1269"/>
      <c s="1269"/>
      <c s="1443">
        <v>0</v>
      </c>
    </row>
    <row r="82" spans="1:44" s="1855" customFormat="1" ht="17.25" customHeight="1" hidden="1">
      <c r="A82" s="323"/>
      <c r="C82" s="322"/>
      <c s="2137"/>
      <c s="2145"/>
      <c s="2148"/>
      <c s="2145"/>
      <c s="2151"/>
      <c s="2153"/>
      <c s="2156"/>
      <c s="2140"/>
      <c s="1299"/>
      <c s="1299"/>
      <c s="1299"/>
      <c s="1299"/>
      <c s="1299"/>
      <c s="1299"/>
      <c s="1299"/>
      <c s="331"/>
      <c s="331"/>
      <c s="331"/>
      <c s="331"/>
      <c s="1300"/>
      <c r="Y82" s="1261"/>
      <c s="1261"/>
      <c s="1261"/>
      <c s="1261"/>
      <c s="1261"/>
      <c s="1261"/>
      <c s="1261"/>
      <c s="1261"/>
      <c s="1261"/>
      <c s="1261"/>
      <c s="1261"/>
      <c s="1261"/>
      <c s="1261"/>
      <c s="1261"/>
      <c s="1261"/>
      <c s="1261"/>
      <c s="1261"/>
      <c s="1261"/>
      <c s="1261"/>
      <c s="1443">
        <v>0</v>
      </c>
    </row>
    <row r="83" spans="1:44" s="1855" customFormat="1" ht="17.25" customHeight="1" hidden="1">
      <c r="A83" s="323"/>
      <c r="C83" s="322"/>
      <c s="2138"/>
      <c s="2146"/>
      <c s="2149"/>
      <c s="2146"/>
      <c s="1301"/>
      <c s="1302"/>
      <c s="1302"/>
      <c s="1302"/>
      <c s="1302"/>
      <c s="1302"/>
      <c s="1302"/>
      <c s="1302"/>
      <c s="1302"/>
      <c s="1302"/>
      <c s="1302"/>
      <c s="1303"/>
      <c s="1303"/>
      <c s="1303"/>
      <c s="1303"/>
      <c s="1304"/>
      <c r="Y83" s="1261"/>
      <c s="1261"/>
      <c s="1261"/>
      <c s="1261"/>
      <c s="1261"/>
      <c s="1261"/>
      <c s="1261"/>
      <c s="1261"/>
      <c s="1261"/>
      <c s="1261"/>
      <c s="1261"/>
      <c s="1261"/>
      <c s="1261"/>
      <c s="1261"/>
      <c s="1261"/>
      <c s="1261"/>
      <c s="1261"/>
      <c s="1261"/>
      <c s="1261"/>
      <c s="1352">
        <v>0</v>
      </c>
    </row>
    <row r="84" spans="1:44" s="1855" customFormat="1" ht="17.25" customHeight="1" hidden="1">
      <c r="A84" s="323"/>
      <c r="C84" s="211"/>
      <c s="2137">
        <v>2</v>
      </c>
      <c s="2145" t="s">
        <v>229</v>
      </c>
      <c s="2147" t="s">
        <v>19</v>
      </c>
      <c s="2145"/>
      <c s="2150"/>
      <c s="2152"/>
      <c s="2154"/>
      <c s="2139"/>
      <c s="2139"/>
      <c s="2139"/>
      <c s="2141"/>
      <c s="2139"/>
      <c s="2139"/>
      <c s="2139"/>
      <c s="2144"/>
      <c s="2139"/>
      <c s="1445"/>
      <c s="1445"/>
      <c s="1447"/>
      <c s="1298"/>
      <c s="1269"/>
      <c s="1269"/>
      <c s="1269"/>
      <c s="1269"/>
      <c s="1269"/>
      <c s="1269" t="s">
        <v>230</v>
      </c>
      <c s="1269" t="s">
        <v>231</v>
      </c>
      <c s="1269" t="s">
        <v>232</v>
      </c>
      <c s="1269" t="s">
        <v>233</v>
      </c>
      <c s="1269"/>
      <c s="1269" t="str">
        <f>IF($E$84=0,"",$E$84)</f>
        <v>Тариф на техническую воду</v>
      </c>
      <c s="1269" t="str">
        <f>IF($G$84=0,"",$G$84)</f>
        <v/>
      </c>
      <c s="1269" t="str">
        <f>IF($J$84=0,"",$J$84)</f>
        <v/>
      </c>
      <c s="1269" t="str">
        <f>IF($K$84="нет","без дифференциации",IF($N$84=0,"",$N$84))</f>
        <v/>
      </c>
      <c s="1269" t="str">
        <f>IF($O$84="нет","без дифференциации",IF($R$84=0,"",$R$84))</f>
        <v/>
      </c>
      <c s="1269" t="str">
        <f>IF($S$84="нет","без дифференциации",IF($V$84=0,"",$V$84))</f>
        <v/>
      </c>
      <c s="1774">
        <f>$I$84</f>
        <v>0</v>
      </c>
      <c s="1269" t="str">
        <f>$I$84&amp;"."&amp;$M$84</f>
        <v>.</v>
      </c>
      <c s="1261" t="str">
        <f>$I$84&amp;"."&amp;$M$84&amp;"."&amp;$Q$84</f>
        <v>..</v>
      </c>
      <c s="1261" t="str">
        <f>$I$84&amp;"."&amp;$M$84&amp;"."&amp;$Q$84&amp;"."&amp;$U$84</f>
        <v>...</v>
      </c>
      <c s="1352">
        <v>0</v>
      </c>
    </row>
    <row r="85" spans="1:44" s="1855" customFormat="1" ht="17.25" customHeight="1" hidden="1">
      <c r="A85" s="323"/>
      <c r="C85"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86" spans="1:44" s="1855" customFormat="1" ht="17.25" customHeight="1" hidden="1">
      <c r="A86" s="323"/>
      <c r="C86"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87" spans="1:44" s="1855" customFormat="1" ht="17.25" customHeight="1" hidden="1">
      <c r="A87" s="323"/>
      <c r="C87"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88" spans="1:44" s="1855" customFormat="1" ht="17.25" customHeight="1" hidden="1">
      <c r="A88" s="323"/>
      <c r="C88"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89" spans="1:44" s="1855" customFormat="1" ht="17.25" customHeight="1" hidden="1">
      <c r="A89" s="323"/>
      <c r="C89" s="211"/>
      <c s="2137">
        <v>3</v>
      </c>
      <c s="2145" t="s">
        <v>234</v>
      </c>
      <c s="2147" t="s">
        <v>19</v>
      </c>
      <c s="2145"/>
      <c s="2150"/>
      <c s="2152"/>
      <c s="2154"/>
      <c s="2139"/>
      <c s="2139"/>
      <c s="2139"/>
      <c s="2141"/>
      <c s="2139"/>
      <c s="2139"/>
      <c s="2139"/>
      <c s="2144"/>
      <c s="2139"/>
      <c s="1445"/>
      <c s="1445"/>
      <c s="1447"/>
      <c s="1298"/>
      <c s="1269"/>
      <c s="1269"/>
      <c s="1269"/>
      <c s="1269"/>
      <c s="1269"/>
      <c s="1269" t="s">
        <v>235</v>
      </c>
      <c s="1269" t="s">
        <v>236</v>
      </c>
      <c s="1269" t="s">
        <v>237</v>
      </c>
      <c s="1269" t="s">
        <v>238</v>
      </c>
      <c s="1269"/>
      <c s="1269" t="str">
        <f>IF($E$89=0,"",$E$89)</f>
        <v>Тариф на транспортировку воды</v>
      </c>
      <c s="1269" t="str">
        <f>IF($G$89=0,"",$G$89)</f>
        <v/>
      </c>
      <c s="1269" t="str">
        <f>IF($J$89=0,"",$J$89)</f>
        <v/>
      </c>
      <c s="1269" t="str">
        <f>IF($K$89="нет","без дифференциации",IF($N$89=0,"",$N$89))</f>
        <v/>
      </c>
      <c s="1269" t="str">
        <f>IF($O$89="нет","без дифференциации",IF($R$89=0,"",$R$89))</f>
        <v/>
      </c>
      <c s="1269" t="str">
        <f>IF($S$89="нет","без дифференциации",IF($V$89=0,"",$V$89))</f>
        <v/>
      </c>
      <c s="1774">
        <f>$I$89</f>
        <v>0</v>
      </c>
      <c s="1269" t="str">
        <f>$I$89&amp;"."&amp;$M$89</f>
        <v>.</v>
      </c>
      <c s="1261" t="str">
        <f>$I$89&amp;"."&amp;$M$89&amp;"."&amp;$Q$89</f>
        <v>..</v>
      </c>
      <c s="1261" t="str">
        <f>$I$89&amp;"."&amp;$M$89&amp;"."&amp;$Q$89&amp;"."&amp;$U$89</f>
        <v>...</v>
      </c>
      <c s="1352">
        <v>0</v>
      </c>
    </row>
    <row r="90" spans="1:44" s="1855" customFormat="1" ht="17.25" customHeight="1" hidden="1">
      <c r="A90" s="323"/>
      <c r="C90"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91" spans="1:44" s="1855" customFormat="1" ht="17.25" customHeight="1" hidden="1">
      <c r="A91" s="323"/>
      <c r="C91"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92" spans="1:44" s="1855" customFormat="1" ht="17.25" customHeight="1" hidden="1">
      <c r="A92" s="323"/>
      <c r="C92"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93" spans="1:44" s="1855" customFormat="1" ht="17.25" customHeight="1" hidden="1">
      <c r="A93" s="323"/>
      <c r="C93"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94" spans="1:44" s="1855" customFormat="1" ht="17.25" customHeight="1" hidden="1">
      <c r="A94" s="323"/>
      <c r="C94" s="211"/>
      <c s="2137">
        <v>4</v>
      </c>
      <c s="2145" t="s">
        <v>239</v>
      </c>
      <c s="2147" t="s">
        <v>19</v>
      </c>
      <c s="2145"/>
      <c s="2150"/>
      <c s="2152"/>
      <c s="2154"/>
      <c s="2139"/>
      <c s="2139"/>
      <c s="2139"/>
      <c s="2141"/>
      <c s="2139"/>
      <c s="2139"/>
      <c s="2139"/>
      <c s="2144"/>
      <c s="2139"/>
      <c s="1445"/>
      <c s="1445"/>
      <c s="1447"/>
      <c s="1298"/>
      <c s="1269"/>
      <c s="1269"/>
      <c s="1269"/>
      <c s="1269"/>
      <c s="1269"/>
      <c s="1269" t="s">
        <v>240</v>
      </c>
      <c s="1269" t="s">
        <v>241</v>
      </c>
      <c s="1269" t="s">
        <v>242</v>
      </c>
      <c s="1269" t="s">
        <v>243</v>
      </c>
      <c s="1269"/>
      <c s="1269" t="str">
        <f>IF($E$94=0,"",$E$94)</f>
        <v>Тариф на подвоз воды</v>
      </c>
      <c s="1269" t="str">
        <f>IF($G$94=0,"",$G$94)</f>
        <v/>
      </c>
      <c s="1269" t="str">
        <f>IF($J$94=0,"",$J$94)</f>
        <v/>
      </c>
      <c s="1269" t="str">
        <f>IF($K$94="нет","без дифференциации",IF($N$94=0,"",$N$94))</f>
        <v/>
      </c>
      <c s="1269" t="str">
        <f>IF($O$94="нет","без дифференциации",IF($R$94=0,"",$R$94))</f>
        <v/>
      </c>
      <c s="1269" t="str">
        <f>IF($S$94="нет","без дифференциации",IF($V$94=0,"",$V$94))</f>
        <v/>
      </c>
      <c s="1774">
        <f>$I$94</f>
        <v>0</v>
      </c>
      <c s="1269" t="str">
        <f>$I$94&amp;"."&amp;$M$94</f>
        <v>.</v>
      </c>
      <c s="1261" t="str">
        <f>$I$94&amp;"."&amp;$M$94&amp;"."&amp;$Q$94</f>
        <v>..</v>
      </c>
      <c s="1261" t="str">
        <f>$I$94&amp;"."&amp;$M$94&amp;"."&amp;$Q$94&amp;"."&amp;$U$94</f>
        <v>...</v>
      </c>
      <c s="1352">
        <v>0</v>
      </c>
    </row>
    <row r="95" spans="1:44" s="1855" customFormat="1" ht="17.25" customHeight="1" hidden="1">
      <c r="A95" s="323"/>
      <c r="C95"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96" spans="1:44" s="1855" customFormat="1" ht="17.25" customHeight="1" hidden="1">
      <c r="A96" s="323"/>
      <c r="C96"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97" spans="1:44" s="1855" customFormat="1" ht="17.25" customHeight="1" hidden="1">
      <c r="A97" s="323"/>
      <c r="C97"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98" spans="1:44" s="1855" customFormat="1" ht="17.25" customHeight="1" hidden="1">
      <c r="A98" s="323"/>
      <c r="C98"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99" spans="1:44" s="1855" customFormat="1" ht="17.25" customHeight="1" hidden="1">
      <c r="A99" s="323"/>
      <c r="C99" s="211"/>
      <c s="2137">
        <v>5</v>
      </c>
      <c s="2145" t="s">
        <v>244</v>
      </c>
      <c s="2147" t="s">
        <v>19</v>
      </c>
      <c s="2145"/>
      <c s="2150"/>
      <c s="2152"/>
      <c s="2154"/>
      <c s="2139"/>
      <c s="2139"/>
      <c s="2139"/>
      <c s="2141"/>
      <c s="2139"/>
      <c s="2139"/>
      <c s="2139"/>
      <c s="2144"/>
      <c s="2139"/>
      <c s="1945"/>
      <c s="1945"/>
      <c s="1947"/>
      <c s="1298"/>
      <c s="1269"/>
      <c s="1269"/>
      <c s="1269"/>
      <c s="1269"/>
      <c s="1269"/>
      <c s="1269" t="s">
        <v>245</v>
      </c>
      <c s="1269" t="s">
        <v>246</v>
      </c>
      <c s="1269" t="s">
        <v>247</v>
      </c>
      <c s="1269" t="s">
        <v>248</v>
      </c>
      <c s="1269"/>
      <c s="1269" t="str">
        <f>IF($E$99=0,"",$E$99)</f>
        <v>Тариф на подключение (технологическое присоединение) к централизованной системе холодного водоснабжения</v>
      </c>
      <c s="1269" t="str">
        <f>IF($G$99=0,"",$G$99)</f>
        <v/>
      </c>
      <c s="1269" t="str">
        <f>IF($J$99=0,"",$J$99)</f>
        <v/>
      </c>
      <c s="1269" t="str">
        <f>IF($K$99="нет","без дифференциации",IF($N$99=0,"",$N$99))</f>
        <v/>
      </c>
      <c s="1269" t="str">
        <f>IF($O$99="нет","без дифференциации",IF($R$99=0,"",$R$99))</f>
        <v/>
      </c>
      <c s="1269" t="str">
        <f>IF($S$99="нет","без дифференциации",IF($V$99=0,"",$V$99))</f>
        <v/>
      </c>
      <c s="1774">
        <f>$I$99</f>
        <v>0</v>
      </c>
      <c s="1269" t="str">
        <f>$I$99&amp;"."&amp;$M$99</f>
        <v>.</v>
      </c>
      <c s="1268" t="str">
        <f>$I$99&amp;"."&amp;$M$99&amp;"."&amp;$Q$99</f>
        <v>..</v>
      </c>
      <c s="1268" t="str">
        <f>$I$99&amp;"."&amp;$M$99&amp;"."&amp;$Q$99&amp;"."&amp;$U$99</f>
        <v>...</v>
      </c>
      <c s="1469">
        <v>0</v>
      </c>
    </row>
    <row r="100" spans="1:44" s="1855" customFormat="1" ht="17.25" customHeight="1" hidden="1">
      <c r="A100" s="323"/>
      <c r="C100"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01" spans="1:44" s="1855" customFormat="1" ht="17.25" customHeight="1" hidden="1">
      <c r="A101" s="323"/>
      <c r="C101"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02" spans="1:44" s="1855" customFormat="1" ht="17.25" customHeight="1" hidden="1">
      <c r="A102" s="323"/>
      <c r="C102"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03" spans="1:44" s="1855" customFormat="1" ht="17.25" customHeight="1" hidden="1">
      <c r="A103" s="323"/>
      <c r="C103"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04" spans="1:44" s="1855" customFormat="1" ht="11.25" customHeight="1" hidden="1">
      <c r="A104" s="279"/>
      <c s="279"/>
      <c r="Y104" s="1261"/>
      <c s="1261"/>
      <c s="1261"/>
      <c s="1261"/>
      <c s="1261"/>
      <c s="1261"/>
      <c s="1261"/>
      <c s="1261"/>
      <c s="1261"/>
      <c s="1261"/>
      <c s="1261"/>
      <c s="1261"/>
      <c s="1261"/>
      <c s="1261"/>
      <c s="1261"/>
      <c s="1261"/>
      <c s="1261"/>
      <c s="1261"/>
      <c s="1261"/>
      <c s="1469">
        <v>0</v>
      </c>
    </row>
    <row r="105" spans="1:44" s="1855" customFormat="1" ht="17.25" customHeight="1" hidden="1">
      <c r="A105" s="323"/>
      <c r="C105" s="211"/>
      <c s="2137">
        <v>1</v>
      </c>
      <c s="2145" t="s">
        <v>249</v>
      </c>
      <c s="2147" t="s">
        <v>19</v>
      </c>
      <c s="2145"/>
      <c s="2150"/>
      <c s="2152"/>
      <c s="2154"/>
      <c s="2139"/>
      <c s="2139"/>
      <c s="2139"/>
      <c s="2141"/>
      <c s="2139"/>
      <c s="2139"/>
      <c s="2139"/>
      <c s="2144"/>
      <c s="2139"/>
      <c s="1472"/>
      <c s="1472"/>
      <c s="1474"/>
      <c s="1298"/>
      <c r="Y105" s="1269"/>
      <c s="1269"/>
      <c s="1269"/>
      <c s="1269"/>
      <c s="1269" t="s">
        <v>250</v>
      </c>
      <c s="1269" t="s">
        <v>251</v>
      </c>
      <c s="1269" t="s">
        <v>252</v>
      </c>
      <c s="1269" t="s">
        <v>253</v>
      </c>
      <c s="1269"/>
      <c s="1269" t="str">
        <f>IF($E$105=0,"",$E$105)</f>
        <v>Тариф на горячую воду (горячее водоснабжение)</v>
      </c>
      <c s="1269" t="str">
        <f>IF($G$105=0,"",$G$105)</f>
        <v/>
      </c>
      <c s="1269" t="str">
        <f>IF($J$105=0,"",$J$105)</f>
        <v/>
      </c>
      <c s="1269" t="str">
        <f>IF($K$105="нет","без дифференциации",IF($N$105=0,"",$N$105))</f>
        <v/>
      </c>
      <c s="1269" t="str">
        <f>IF($O$105="нет","без дифференциации",IF($R$105=0,"",$R$105))</f>
        <v/>
      </c>
      <c s="1269" t="str">
        <f>IF($S$105="нет","без дифференциации",IF($V$105=0,"",$V$105))</f>
        <v/>
      </c>
      <c s="1269">
        <f>$I$105</f>
        <v>0</v>
      </c>
      <c s="1269" t="str">
        <f>$I$105&amp;"."&amp;$M$105</f>
        <v>.</v>
      </c>
      <c s="1269" t="str">
        <f>$I$105&amp;"."&amp;$M$105&amp;"."&amp;$Q$105</f>
        <v>..</v>
      </c>
      <c s="1269" t="str">
        <f>$I$105&amp;"."&amp;$M$105&amp;"."&amp;$Q$105&amp;"."&amp;$U$105</f>
        <v>...</v>
      </c>
      <c s="1469">
        <v>0</v>
      </c>
    </row>
    <row r="106" spans="1:44" s="1855" customFormat="1" ht="17.25" customHeight="1" hidden="1">
      <c r="A106" s="323"/>
      <c r="C106" s="322"/>
      <c s="2137"/>
      <c s="2145"/>
      <c s="2148"/>
      <c s="2145"/>
      <c s="2151"/>
      <c s="2153"/>
      <c s="2155"/>
      <c s="2140"/>
      <c s="2140"/>
      <c s="2140"/>
      <c s="2142"/>
      <c s="2140"/>
      <c s="2140"/>
      <c s="2140"/>
      <c s="2143"/>
      <c s="2140"/>
      <c s="1299"/>
      <c s="1299"/>
      <c s="1299"/>
      <c s="1300"/>
      <c r="Y106" s="1261"/>
      <c s="1261"/>
      <c s="1261"/>
      <c s="1261"/>
      <c s="1261"/>
      <c s="1261"/>
      <c s="1261"/>
      <c s="1261"/>
      <c s="1261"/>
      <c s="1261"/>
      <c s="1261"/>
      <c s="1261"/>
      <c s="1261"/>
      <c s="1261"/>
      <c s="1261"/>
      <c s="1261"/>
      <c s="1261"/>
      <c s="1261"/>
      <c s="1261"/>
      <c s="1469">
        <v>0</v>
      </c>
    </row>
    <row r="107" spans="1:44" s="1855" customFormat="1" ht="17.25" customHeight="1" hidden="1">
      <c r="A107" s="323"/>
      <c r="C107" s="211"/>
      <c s="2137"/>
      <c s="2145"/>
      <c s="2148"/>
      <c s="2145"/>
      <c s="2151"/>
      <c s="2153"/>
      <c s="2156"/>
      <c s="2140"/>
      <c s="2140"/>
      <c s="2140"/>
      <c s="2143"/>
      <c s="2140"/>
      <c s="1473"/>
      <c s="1299"/>
      <c s="1299"/>
      <c s="331"/>
      <c s="331"/>
      <c s="331"/>
      <c s="331"/>
      <c s="1300"/>
      <c r="Y107" s="1269"/>
      <c s="1269"/>
      <c s="1269"/>
      <c s="1269"/>
      <c s="1269"/>
      <c s="1269"/>
      <c s="1269"/>
      <c s="1269"/>
      <c s="1269"/>
      <c s="1269"/>
      <c s="1269"/>
      <c s="1269"/>
      <c s="1269"/>
      <c s="1269"/>
      <c s="1269"/>
      <c s="1269"/>
      <c s="1269"/>
      <c s="1269"/>
      <c s="1269"/>
      <c s="1469">
        <v>0</v>
      </c>
    </row>
    <row r="108" spans="1:44" s="1855" customFormat="1" ht="17.25" customHeight="1" hidden="1">
      <c r="A108" s="323"/>
      <c r="C108" s="322"/>
      <c s="2137"/>
      <c s="2145"/>
      <c s="2148"/>
      <c s="2145"/>
      <c s="2151"/>
      <c s="2153"/>
      <c s="2156"/>
      <c s="2140"/>
      <c s="1299"/>
      <c s="1299"/>
      <c s="1299"/>
      <c s="1299"/>
      <c s="1299"/>
      <c s="1299"/>
      <c s="1299"/>
      <c s="331"/>
      <c s="331"/>
      <c s="331"/>
      <c s="331"/>
      <c s="1300"/>
      <c r="Y108" s="1261"/>
      <c s="1261"/>
      <c s="1261"/>
      <c s="1261"/>
      <c s="1261"/>
      <c s="1261"/>
      <c s="1261"/>
      <c s="1261"/>
      <c s="1261"/>
      <c s="1261"/>
      <c s="1261"/>
      <c s="1261"/>
      <c s="1261"/>
      <c s="1261"/>
      <c s="1261"/>
      <c s="1261"/>
      <c s="1261"/>
      <c s="1261"/>
      <c s="1261"/>
      <c s="1469">
        <v>0</v>
      </c>
    </row>
    <row r="109" spans="1:44" s="1855" customFormat="1" ht="17.25" customHeight="1" hidden="1">
      <c r="A109" s="323"/>
      <c r="C109" s="322"/>
      <c s="2138"/>
      <c s="2146"/>
      <c s="2149"/>
      <c s="2146"/>
      <c s="1301"/>
      <c s="1302"/>
      <c s="1302"/>
      <c s="1302"/>
      <c s="1302"/>
      <c s="1302"/>
      <c s="1302"/>
      <c s="1302"/>
      <c s="1302"/>
      <c s="1302"/>
      <c s="1302"/>
      <c s="1303"/>
      <c s="1303"/>
      <c s="1303"/>
      <c s="1303"/>
      <c s="1304"/>
      <c r="Y109" s="1261"/>
      <c s="1261"/>
      <c s="1261"/>
      <c s="1261"/>
      <c s="1261"/>
      <c s="1261"/>
      <c s="1261"/>
      <c s="1261"/>
      <c s="1261"/>
      <c s="1261"/>
      <c s="1261"/>
      <c s="1261"/>
      <c s="1261"/>
      <c s="1261"/>
      <c s="1261"/>
      <c s="1261"/>
      <c s="1261"/>
      <c s="1261"/>
      <c s="1261"/>
      <c s="1469">
        <v>0</v>
      </c>
    </row>
    <row r="110" spans="1:44" s="1855" customFormat="1" ht="17.25" customHeight="1" hidden="1">
      <c r="A110" s="323"/>
      <c r="C110" s="211"/>
      <c s="2137">
        <v>2</v>
      </c>
      <c s="2145" t="s">
        <v>254</v>
      </c>
      <c s="2147" t="s">
        <v>19</v>
      </c>
      <c s="2145"/>
      <c s="2150"/>
      <c s="2152"/>
      <c s="2154"/>
      <c s="2139"/>
      <c s="2139"/>
      <c s="2139"/>
      <c s="2141"/>
      <c s="2139"/>
      <c s="2139"/>
      <c s="2139"/>
      <c s="2144"/>
      <c s="2139"/>
      <c s="1472"/>
      <c s="1472"/>
      <c s="1474"/>
      <c s="1298"/>
      <c s="1269"/>
      <c s="1269"/>
      <c s="1269"/>
      <c s="1269"/>
      <c s="1269"/>
      <c s="1269" t="s">
        <v>255</v>
      </c>
      <c s="1269" t="s">
        <v>256</v>
      </c>
      <c s="1269" t="s">
        <v>257</v>
      </c>
      <c s="1269" t="s">
        <v>258</v>
      </c>
      <c s="1269"/>
      <c s="1269" t="str">
        <f>IF($E$110=0,"",$E$110)</f>
        <v>Тариф на транспортировку горячей воды</v>
      </c>
      <c s="1269" t="str">
        <f>IF($G$110=0,"",$G$110)</f>
        <v/>
      </c>
      <c s="1269" t="str">
        <f>IF($J$110=0,"",$J$110)</f>
        <v/>
      </c>
      <c s="1269" t="str">
        <f>IF($K$110="нет","без дифференциации",IF($N$110=0,"",$N$110))</f>
        <v/>
      </c>
      <c s="1269" t="str">
        <f>IF($O$110="нет","без дифференциации",IF($R$110=0,"",$R$110))</f>
        <v/>
      </c>
      <c s="1269" t="str">
        <f>IF($S$110="нет","без дифференциации",IF($V$110=0,"",$V$110))</f>
        <v/>
      </c>
      <c s="1774">
        <f>$I$110</f>
        <v>0</v>
      </c>
      <c s="1269" t="str">
        <f>$I$110&amp;"."&amp;$M$110</f>
        <v>.</v>
      </c>
      <c s="1261" t="str">
        <f>$I$110&amp;"."&amp;$M$110&amp;"."&amp;$Q$110</f>
        <v>..</v>
      </c>
      <c s="1261" t="str">
        <f>$I$110&amp;"."&amp;$M$110&amp;"."&amp;$Q$110&amp;"."&amp;$U$110</f>
        <v>...</v>
      </c>
      <c s="1469">
        <v>0</v>
      </c>
    </row>
    <row r="111" spans="1:44" s="1855" customFormat="1" ht="17.25" customHeight="1" hidden="1">
      <c r="A111" s="323"/>
      <c r="C111"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469">
        <v>0</v>
      </c>
    </row>
    <row r="112" spans="1:44" s="1855" customFormat="1" ht="17.25" customHeight="1" hidden="1">
      <c r="A112" s="323"/>
      <c r="C112"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469">
        <v>0</v>
      </c>
    </row>
    <row r="113" spans="1:44" s="1855" customFormat="1" ht="17.25" customHeight="1" hidden="1">
      <c r="A113" s="323"/>
      <c r="C113"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469">
        <v>0</v>
      </c>
    </row>
    <row r="114" spans="1:44" s="1855" customFormat="1" ht="17.25" customHeight="1" hidden="1">
      <c r="A114" s="323"/>
      <c r="C114"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469">
        <v>0</v>
      </c>
    </row>
    <row r="115" spans="1:44" s="1855" customFormat="1" ht="17.25" customHeight="1" hidden="1">
      <c r="A115" s="323"/>
      <c r="C115" s="211"/>
      <c s="2137">
        <v>3</v>
      </c>
      <c s="2145" t="s">
        <v>259</v>
      </c>
      <c s="2147" t="s">
        <v>19</v>
      </c>
      <c s="2145"/>
      <c s="2150"/>
      <c s="2152"/>
      <c s="2154"/>
      <c s="2139"/>
      <c s="2139"/>
      <c s="2139"/>
      <c s="2141"/>
      <c s="2139"/>
      <c s="2139"/>
      <c s="2139"/>
      <c s="2144"/>
      <c s="2139"/>
      <c s="1945"/>
      <c s="1945"/>
      <c s="1947"/>
      <c s="1298"/>
      <c s="1269"/>
      <c s="1269"/>
      <c s="1269"/>
      <c s="1269"/>
      <c s="1269"/>
      <c s="1269" t="s">
        <v>260</v>
      </c>
      <c s="1269" t="s">
        <v>261</v>
      </c>
      <c s="1269" t="s">
        <v>262</v>
      </c>
      <c s="1269" t="s">
        <v>263</v>
      </c>
      <c s="1269"/>
      <c s="1269" t="str">
        <f>IF($E$115=0,"",$E$115)</f>
        <v>Тариф на подключение (технологическое присоединение) к централизованной системе горячего водоснабжения</v>
      </c>
      <c s="1269" t="str">
        <f>IF($G$115=0,"",$G$115)</f>
        <v/>
      </c>
      <c s="1269" t="str">
        <f>IF($J$115=0,"",$J$115)</f>
        <v/>
      </c>
      <c s="1269" t="str">
        <f>IF($K$115="нет","без дифференциации",IF($N$115=0,"",$N$115))</f>
        <v/>
      </c>
      <c s="1269" t="str">
        <f>IF($O$115="нет","без дифференциации",IF($R$115=0,"",$R$115))</f>
        <v/>
      </c>
      <c s="1269" t="str">
        <f>IF($S$115="нет","без дифференциации",IF($V$115=0,"",$V$115))</f>
        <v/>
      </c>
      <c s="1774">
        <f>$I$115</f>
        <v>0</v>
      </c>
      <c s="1269" t="str">
        <f>$I$115&amp;"."&amp;$M$115</f>
        <v>.</v>
      </c>
      <c s="1268" t="str">
        <f>$I$115&amp;"."&amp;$M$115&amp;"."&amp;$Q$115</f>
        <v>..</v>
      </c>
      <c s="1268" t="str">
        <f>$I$115&amp;"."&amp;$M$115&amp;"."&amp;$Q$115&amp;"."&amp;$U$115</f>
        <v>...</v>
      </c>
      <c s="1469">
        <v>0</v>
      </c>
    </row>
    <row r="116" spans="1:44" s="1855" customFormat="1" ht="17.25" customHeight="1" hidden="1">
      <c r="A116" s="323"/>
      <c r="C116"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17" spans="1:44" s="1855" customFormat="1" ht="17.25" customHeight="1" hidden="1">
      <c r="A117" s="323"/>
      <c r="C117"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18" spans="1:44" s="1855" customFormat="1" ht="17.25" customHeight="1" hidden="1">
      <c r="A118" s="323"/>
      <c r="C118"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19" spans="1:44" s="1855" customFormat="1" ht="17.25" customHeight="1" hidden="1">
      <c r="A119" s="323"/>
      <c r="C119"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20" spans="1:44" s="1855" customFormat="1" ht="11.25" customHeight="1" hidden="1">
      <c r="A120" s="279"/>
      <c s="279"/>
      <c r="Y120" s="1261"/>
      <c s="1261"/>
      <c s="1261"/>
      <c s="1261"/>
      <c s="1261"/>
      <c s="1261"/>
      <c s="1261"/>
      <c s="1261"/>
      <c s="1261"/>
      <c s="1261"/>
      <c s="1261"/>
      <c s="1261"/>
      <c s="1261"/>
      <c s="1261"/>
      <c s="1261"/>
      <c s="1261"/>
      <c s="1261"/>
      <c s="1261"/>
      <c s="1261"/>
      <c s="1469">
        <v>0</v>
      </c>
    </row>
    <row r="121" spans="1:44" s="1855" customFormat="1" ht="17.25" customHeight="1" hidden="1">
      <c r="A121" s="323"/>
      <c r="C121" s="211"/>
      <c s="2137">
        <v>1</v>
      </c>
      <c s="2145" t="s">
        <v>264</v>
      </c>
      <c s="2147" t="s">
        <v>19</v>
      </c>
      <c s="2145"/>
      <c s="2150"/>
      <c s="2152"/>
      <c s="2154"/>
      <c s="2139"/>
      <c s="2139"/>
      <c s="2139"/>
      <c s="2141"/>
      <c s="2139"/>
      <c s="2139"/>
      <c s="2139"/>
      <c s="2144"/>
      <c s="2139"/>
      <c s="1472"/>
      <c s="1472"/>
      <c s="1474"/>
      <c s="1298"/>
      <c r="Y121" s="1269"/>
      <c s="1269"/>
      <c s="1269"/>
      <c s="1269"/>
      <c s="1269" t="s">
        <v>265</v>
      </c>
      <c s="1269" t="s">
        <v>266</v>
      </c>
      <c s="1269" t="s">
        <v>267</v>
      </c>
      <c s="1269" t="s">
        <v>268</v>
      </c>
      <c s="1269"/>
      <c s="1269" t="str">
        <f>IF($E$121=0,"",$E$121)</f>
        <v>Тариф на водоотведение</v>
      </c>
      <c s="1269" t="str">
        <f>IF($G$121=0,"",$G$121)</f>
        <v/>
      </c>
      <c s="1269" t="str">
        <f>IF($J$121=0,"",$J$121)</f>
        <v/>
      </c>
      <c s="1269" t="str">
        <f>IF($K$121="нет","без дифференциации",IF($N$121=0,"",$N$121))</f>
        <v/>
      </c>
      <c s="1269" t="str">
        <f>IF($O$121="нет","без дифференциации",IF($R$121=0,"",$R$121))</f>
        <v/>
      </c>
      <c s="1269" t="str">
        <f>IF($S$121="нет","без дифференциации",IF($V$121=0,"",$V$121))</f>
        <v/>
      </c>
      <c s="1269">
        <f>$I$121</f>
        <v>0</v>
      </c>
      <c s="1269" t="str">
        <f>$I$121&amp;"."&amp;$M$121</f>
        <v>.</v>
      </c>
      <c s="1269" t="str">
        <f>$I$121&amp;"."&amp;$M$121&amp;"."&amp;$Q$121</f>
        <v>..</v>
      </c>
      <c s="1269" t="str">
        <f>$I$121&amp;"."&amp;$M$121&amp;"."&amp;$Q$121&amp;"."&amp;$U$121</f>
        <v>...</v>
      </c>
      <c s="1469">
        <v>0</v>
      </c>
    </row>
    <row r="122" spans="1:44" s="1855" customFormat="1" ht="17.25" customHeight="1" hidden="1">
      <c r="A122" s="323"/>
      <c r="C122" s="322"/>
      <c s="2137"/>
      <c s="2145"/>
      <c s="2148"/>
      <c s="2145"/>
      <c s="2151"/>
      <c s="2153"/>
      <c s="2155"/>
      <c s="2140"/>
      <c s="2140"/>
      <c s="2140"/>
      <c s="2142"/>
      <c s="2140"/>
      <c s="2140"/>
      <c s="2140"/>
      <c s="2143"/>
      <c s="2140"/>
      <c s="1299"/>
      <c s="1299"/>
      <c s="1299"/>
      <c s="1300"/>
      <c r="Y122" s="1261"/>
      <c s="1261"/>
      <c s="1261"/>
      <c s="1261"/>
      <c s="1261"/>
      <c s="1261"/>
      <c s="1261"/>
      <c s="1261"/>
      <c s="1261"/>
      <c s="1261"/>
      <c s="1261"/>
      <c s="1261"/>
      <c s="1261"/>
      <c s="1261"/>
      <c s="1261"/>
      <c s="1261"/>
      <c s="1261"/>
      <c s="1261"/>
      <c s="1261"/>
      <c s="1469">
        <v>0</v>
      </c>
    </row>
    <row r="123" spans="1:44" s="1855" customFormat="1" ht="17.25" customHeight="1" hidden="1">
      <c r="A123" s="323"/>
      <c r="C123" s="211"/>
      <c s="2137"/>
      <c s="2145"/>
      <c s="2148"/>
      <c s="2145"/>
      <c s="2151"/>
      <c s="2153"/>
      <c s="2156"/>
      <c s="2140"/>
      <c s="2140"/>
      <c s="2140"/>
      <c s="2143"/>
      <c s="2140"/>
      <c s="1473"/>
      <c s="1299"/>
      <c s="1299"/>
      <c s="331"/>
      <c s="331"/>
      <c s="331"/>
      <c s="331"/>
      <c s="1300"/>
      <c r="Y123" s="1269"/>
      <c s="1269"/>
      <c s="1269"/>
      <c s="1269"/>
      <c s="1269"/>
      <c s="1269"/>
      <c s="1269"/>
      <c s="1269"/>
      <c s="1269"/>
      <c s="1269"/>
      <c s="1269"/>
      <c s="1269"/>
      <c s="1269"/>
      <c s="1269"/>
      <c s="1269"/>
      <c s="1269"/>
      <c s="1269"/>
      <c s="1269"/>
      <c s="1269"/>
      <c s="1469">
        <v>0</v>
      </c>
    </row>
    <row r="124" spans="1:44" s="1855" customFormat="1" ht="17.25" customHeight="1" hidden="1">
      <c r="A124" s="323"/>
      <c r="C124" s="322"/>
      <c s="2137"/>
      <c s="2145"/>
      <c s="2148"/>
      <c s="2145"/>
      <c s="2151"/>
      <c s="2153"/>
      <c s="2156"/>
      <c s="2140"/>
      <c s="1299"/>
      <c s="1299"/>
      <c s="1299"/>
      <c s="1299"/>
      <c s="1299"/>
      <c s="1299"/>
      <c s="1299"/>
      <c s="331"/>
      <c s="331"/>
      <c s="331"/>
      <c s="331"/>
      <c s="1300"/>
      <c r="Y124" s="1261"/>
      <c s="1261"/>
      <c s="1261"/>
      <c s="1261"/>
      <c s="1261"/>
      <c s="1261"/>
      <c s="1261"/>
      <c s="1261"/>
      <c s="1261"/>
      <c s="1261"/>
      <c s="1261"/>
      <c s="1261"/>
      <c s="1261"/>
      <c s="1261"/>
      <c s="1261"/>
      <c s="1261"/>
      <c s="1261"/>
      <c s="1261"/>
      <c s="1261"/>
      <c s="1469">
        <v>0</v>
      </c>
    </row>
    <row r="125" spans="1:44" s="1855" customFormat="1" ht="17.25" customHeight="1" hidden="1">
      <c r="A125" s="323"/>
      <c r="C125" s="322"/>
      <c s="2138"/>
      <c s="2146"/>
      <c s="2149"/>
      <c s="2146"/>
      <c s="1301"/>
      <c s="1302"/>
      <c s="1302"/>
      <c s="1302"/>
      <c s="1302"/>
      <c s="1302"/>
      <c s="1302"/>
      <c s="1302"/>
      <c s="1302"/>
      <c s="1302"/>
      <c s="1302"/>
      <c s="1303"/>
      <c s="1303"/>
      <c s="1303"/>
      <c s="1303"/>
      <c s="1304"/>
      <c r="Y125" s="1261"/>
      <c s="1261"/>
      <c s="1261"/>
      <c s="1261"/>
      <c s="1261"/>
      <c s="1261"/>
      <c s="1261"/>
      <c s="1261"/>
      <c s="1261"/>
      <c s="1261"/>
      <c s="1261"/>
      <c s="1261"/>
      <c s="1261"/>
      <c s="1261"/>
      <c s="1261"/>
      <c s="1261"/>
      <c s="1261"/>
      <c s="1261"/>
      <c s="1261"/>
      <c s="1469">
        <v>0</v>
      </c>
    </row>
    <row r="126" spans="1:44" s="1855" customFormat="1" ht="17.25" customHeight="1" hidden="1">
      <c r="A126" s="323"/>
      <c r="C126" s="211"/>
      <c s="2137">
        <v>2</v>
      </c>
      <c s="2145" t="s">
        <v>269</v>
      </c>
      <c s="2147" t="s">
        <v>19</v>
      </c>
      <c s="2145"/>
      <c s="2150"/>
      <c s="2152"/>
      <c s="2154"/>
      <c s="2139"/>
      <c s="2139"/>
      <c s="2139"/>
      <c s="2141"/>
      <c s="2139"/>
      <c s="2139"/>
      <c s="2139"/>
      <c s="2144"/>
      <c s="2139"/>
      <c s="1472"/>
      <c s="1472"/>
      <c s="1474"/>
      <c s="1298"/>
      <c s="1269"/>
      <c s="1269"/>
      <c s="1269"/>
      <c s="1269"/>
      <c s="1269"/>
      <c s="1269" t="s">
        <v>270</v>
      </c>
      <c s="1269" t="s">
        <v>271</v>
      </c>
      <c s="1269" t="s">
        <v>272</v>
      </c>
      <c s="1269" t="s">
        <v>273</v>
      </c>
      <c s="1269"/>
      <c s="1269" t="str">
        <f>IF($E$126=0,"",$E$126)</f>
        <v>Тариф на транспортировку сточных вод</v>
      </c>
      <c s="1269" t="str">
        <f>IF($G$126=0,"",$G$126)</f>
        <v/>
      </c>
      <c s="1269" t="str">
        <f>IF($J$126=0,"",$J$126)</f>
        <v/>
      </c>
      <c s="1269" t="str">
        <f>IF($K$126="нет","без дифференциации",IF($N$126=0,"",$N$126))</f>
        <v/>
      </c>
      <c s="1269" t="str">
        <f>IF($O$126="нет","без дифференциации",IF($R$126=0,"",$R$126))</f>
        <v/>
      </c>
      <c s="1269" t="str">
        <f>IF($S$126="нет","без дифференциации",IF($V$126=0,"",$V$126))</f>
        <v/>
      </c>
      <c s="1774">
        <f>$I$126</f>
        <v>0</v>
      </c>
      <c s="1269" t="str">
        <f>$I$126&amp;"."&amp;$M$126</f>
        <v>.</v>
      </c>
      <c s="1261" t="str">
        <f>$I$126&amp;"."&amp;$M$126&amp;"."&amp;$Q$126</f>
        <v>..</v>
      </c>
      <c s="1261" t="str">
        <f>$I$126&amp;"."&amp;$M$126&amp;"."&amp;$Q$126&amp;"."&amp;$U$126</f>
        <v>...</v>
      </c>
      <c s="1469">
        <v>0</v>
      </c>
    </row>
    <row r="127" spans="1:44" s="1855" customFormat="1" ht="17.25" customHeight="1" hidden="1">
      <c r="A127" s="323"/>
      <c r="C127"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469">
        <v>0</v>
      </c>
    </row>
    <row r="128" spans="1:44" s="1855" customFormat="1" ht="17.25" customHeight="1" hidden="1">
      <c r="A128" s="323"/>
      <c r="C128"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469">
        <v>0</v>
      </c>
    </row>
    <row r="129" spans="1:44" s="1855" customFormat="1" ht="17.25" customHeight="1" hidden="1">
      <c r="A129" s="323"/>
      <c r="C129"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469">
        <v>0</v>
      </c>
    </row>
    <row r="130" spans="1:44" s="1855" customFormat="1" ht="17.25" customHeight="1" hidden="1">
      <c r="A130" s="323"/>
      <c r="C130"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469">
        <v>0</v>
      </c>
    </row>
    <row r="131" spans="1:44" s="1855" customFormat="1" ht="17.25" customHeight="1" hidden="1">
      <c r="A131" s="323"/>
      <c r="C131" s="211"/>
      <c s="2137">
        <v>3</v>
      </c>
      <c s="2145" t="s">
        <v>274</v>
      </c>
      <c s="2147" t="s">
        <v>19</v>
      </c>
      <c s="2145"/>
      <c s="2150"/>
      <c s="2152"/>
      <c s="2154"/>
      <c s="2139"/>
      <c s="2139"/>
      <c s="2139"/>
      <c s="2141"/>
      <c s="2139"/>
      <c s="2139"/>
      <c s="2139"/>
      <c s="2144"/>
      <c s="2139"/>
      <c s="1945"/>
      <c s="1945"/>
      <c s="1947"/>
      <c s="1298"/>
      <c s="1269"/>
      <c s="1269"/>
      <c s="1269"/>
      <c s="1269"/>
      <c s="1269"/>
      <c s="1269" t="s">
        <v>275</v>
      </c>
      <c s="1269" t="s">
        <v>276</v>
      </c>
      <c s="1269" t="s">
        <v>277</v>
      </c>
      <c s="1269" t="s">
        <v>278</v>
      </c>
      <c s="1269"/>
      <c s="1269" t="str">
        <f>IF($E$131=0,"",$E$131)</f>
        <v>Тариф на подключение (технологическое присоединение) к централизованной системе водоотведения</v>
      </c>
      <c s="1269" t="str">
        <f>IF($G$131=0,"",$G$131)</f>
        <v/>
      </c>
      <c s="1269" t="str">
        <f>IF($J$131=0,"",$J$131)</f>
        <v/>
      </c>
      <c s="1269" t="str">
        <f>IF($K$131="нет","без дифференциации",IF($N$131=0,"",$N$131))</f>
        <v/>
      </c>
      <c s="1269" t="str">
        <f>IF($O$131="нет","без дифференциации",IF($R$131=0,"",$R$131))</f>
        <v/>
      </c>
      <c s="1269" t="str">
        <f>IF($S$131="нет","без дифференциации",IF($V$131=0,"",$V$131))</f>
        <v/>
      </c>
      <c s="1774">
        <f>$I$131</f>
        <v>0</v>
      </c>
      <c s="1269" t="str">
        <f>$I$131&amp;"."&amp;$M$131</f>
        <v>.</v>
      </c>
      <c s="1268" t="str">
        <f>$I$131&amp;"."&amp;$M$131&amp;"."&amp;$Q$131</f>
        <v>..</v>
      </c>
      <c s="1268" t="str">
        <f>$I$131&amp;"."&amp;$M$131&amp;"."&amp;$Q$131&amp;"."&amp;$U$131</f>
        <v>...</v>
      </c>
      <c s="1469">
        <v>0</v>
      </c>
    </row>
    <row r="132" spans="1:44" s="1855" customFormat="1" ht="17.25" customHeight="1" hidden="1">
      <c r="A132" s="323"/>
      <c r="C132"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33" spans="1:44" s="1855" customFormat="1" ht="17.25" customHeight="1" hidden="1">
      <c r="A133" s="323"/>
      <c r="C133"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34" spans="1:44" s="1855" customFormat="1" ht="17.25" customHeight="1" hidden="1">
      <c r="A134" s="323"/>
      <c r="C134"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35" spans="1:44" s="1855" customFormat="1" ht="17.25" customHeight="1" hidden="1">
      <c r="A135" s="323"/>
      <c r="C135"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36" spans="44:44" ht="11.55" customHeight="1">
      <c r="AR136" s="106">
        <v>11</v>
      </c>
    </row>
    <row r="137" spans="44:44" ht="11.55" customHeight="1">
      <c r="AR137" s="106">
        <v>11</v>
      </c>
    </row>
    <row r="138" spans="44:44" ht="11.55" customHeight="1">
      <c r="AR138" s="106">
        <v>11</v>
      </c>
    </row>
    <row r="139" spans="5:5 44:44" ht="11.55" customHeight="1">
      <c r="E139" s="1352"/>
      <c r="AR139" s="106">
        <v>11</v>
      </c>
    </row>
    <row r="140" spans="5:5 44:44" ht="11.55" customHeight="1">
      <c r="E140" s="1352"/>
      <c r="AR140" s="106">
        <v>11</v>
      </c>
    </row>
    <row r="141" spans="5:5 44:44" ht="11.55" customHeight="1">
      <c r="E141" s="1352"/>
      <c r="AR141" s="106">
        <v>11</v>
      </c>
    </row>
    <row r="142" spans="5:5 44:44" ht="11.55" customHeight="1">
      <c r="E142" s="1352"/>
      <c r="AR142" s="106">
        <v>11</v>
      </c>
    </row>
    <row r="143" spans="5:5 44:44" ht="11.55" customHeight="1">
      <c r="E143" s="1352"/>
      <c r="AR143" s="106">
        <v>11</v>
      </c>
    </row>
    <row r="144" spans="5:5 44:44" ht="11.55" customHeight="1">
      <c r="E144" s="1352"/>
      <c r="AR144" s="106">
        <v>11</v>
      </c>
    </row>
    <row r="145" spans="5:5 44:44" ht="11.55" customHeight="1">
      <c r="E145" s="1352"/>
      <c r="AR145" s="106">
        <v>11</v>
      </c>
    </row>
    <row r="146" spans="1:44" ht="11.25" customHeight="1" hidden="1">
      <c r="A146" s="155" t="s">
        <v>81</v>
      </c>
      <c s="155">
        <v>0</v>
      </c>
      <c s="106">
        <v>3</v>
      </c>
      <c s="106">
        <v>6</v>
      </c>
      <c s="106">
        <v>42</v>
      </c>
      <c s="1285">
        <v>14</v>
      </c>
      <c s="106">
        <v>42</v>
      </c>
      <c s="106">
        <v>3</v>
      </c>
      <c s="106">
        <v>5</v>
      </c>
      <c s="106">
        <v>47</v>
      </c>
      <c s="106">
        <v>3</v>
      </c>
      <c s="106">
        <v>3</v>
      </c>
      <c s="106">
        <v>5</v>
      </c>
      <c s="106">
        <v>28</v>
      </c>
      <c s="106">
        <v>3</v>
      </c>
      <c s="106">
        <v>3</v>
      </c>
      <c s="106">
        <v>5</v>
      </c>
      <c s="106">
        <v>34</v>
      </c>
      <c s="284">
        <v>0</v>
      </c>
      <c s="284">
        <v>0</v>
      </c>
      <c s="284">
        <v>0</v>
      </c>
      <c s="284">
        <v>0</v>
      </c>
      <c s="106">
        <v>30</v>
      </c>
      <c s="106">
        <v>3</v>
      </c>
      <c s="1261">
        <v>0</v>
      </c>
      <c s="1261">
        <v>0</v>
      </c>
      <c s="1261">
        <v>0</v>
      </c>
      <c s="1261">
        <v>0</v>
      </c>
      <c s="1261">
        <v>0</v>
      </c>
      <c s="1261">
        <v>0</v>
      </c>
      <c s="1261">
        <v>0</v>
      </c>
      <c s="1261">
        <v>0</v>
      </c>
      <c s="1261">
        <v>0</v>
      </c>
      <c s="1261">
        <v>0</v>
      </c>
      <c s="1261">
        <v>0</v>
      </c>
      <c s="1261">
        <v>0</v>
      </c>
      <c s="1261">
        <v>0</v>
      </c>
      <c s="1261">
        <v>0</v>
      </c>
      <c s="1261">
        <v>0</v>
      </c>
      <c s="1261">
        <v>0</v>
      </c>
      <c s="1261">
        <v>0</v>
      </c>
      <c s="1261">
        <v>0</v>
      </c>
      <c s="1261">
        <v>0</v>
      </c>
      <c s="106">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CA02024-D42F-D31F-512B-0.8BEAA3CF}"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2" hidden="1"/>
    <col min="3" max="4" width="3" style="1852" customWidth="1"/>
    <col min="5" max="6" width="15" style="1852" customWidth="1"/>
    <col min="7" max="7" width="11.5714285714286" style="1852" customWidth="1"/>
    <col min="8" max="9" width="3" style="1852" customWidth="1"/>
    <col min="10" max="10" width="12" style="1852" customWidth="1"/>
    <col min="11" max="11" width="0.285714285714286" style="1852" customWidth="1"/>
    <col min="12" max="13" width="10" style="1852" customWidth="1"/>
    <col min="14" max="15" width="3" style="1852" customWidth="1"/>
    <col min="16" max="16" width="19" style="1852" customWidth="1"/>
    <col min="17" max="17" width="0.285714285714286" style="1852" customWidth="1"/>
    <col min="18" max="19" width="10" style="1852" customWidth="1"/>
    <col min="20" max="21" width="3" style="1852" customWidth="1"/>
    <col min="22" max="22" width="25" style="1852" customWidth="1"/>
    <col min="23" max="23" width="0.285714285714286" style="1852" customWidth="1"/>
    <col min="24" max="25" width="10" style="1852" customWidth="1"/>
    <col min="26" max="27" width="3" style="1852" customWidth="1"/>
    <col min="28" max="28" width="16" style="1852" customWidth="1"/>
    <col min="29" max="29" width="0.285714285714286" style="1852" customWidth="1"/>
    <col min="30" max="31" width="10" style="1852" customWidth="1"/>
    <col min="32" max="33" width="3" style="1852" customWidth="1"/>
    <col min="34" max="34" width="8" style="1852" customWidth="1"/>
    <col min="35" max="35" width="21" style="1852" customWidth="1"/>
    <col min="36" max="36" width="8" style="1852" customWidth="1"/>
    <col min="37" max="37" width="8" style="360" customWidth="1"/>
    <col min="38" max="64" width="8" style="1852" customWidth="1"/>
    <col min="65" max="65" width="9.14285714285714" style="1852" hidden="1"/>
  </cols>
  <sheetData>
    <row r="1" spans="36:65" s="1318" customFormat="1" ht="11.25" customHeight="1" hidden="1">
      <c r="AJ1" s="424"/>
      <c s="424"/>
      <c s="424"/>
      <c s="424"/>
      <c s="424"/>
      <c s="424"/>
      <c s="424"/>
      <c s="424"/>
      <c s="424"/>
      <c s="424"/>
      <c s="424"/>
      <c s="424"/>
      <c s="424"/>
      <c s="424"/>
      <c s="424"/>
      <c s="424"/>
      <c s="424"/>
      <c s="424"/>
      <c s="424"/>
      <c s="424"/>
      <c s="424"/>
      <c s="424"/>
      <c s="424"/>
      <c s="424"/>
      <c s="424"/>
      <c s="424"/>
      <c s="424"/>
      <c s="424"/>
      <c s="424"/>
      <c s="421" t="s">
        <v>14</v>
      </c>
    </row>
    <row r="2" spans="12:65" s="1555" customFormat="1" ht="11.25" customHeight="1" hidden="1">
      <c r="L2" s="1555" t="s">
        <v>279</v>
      </c>
      <c s="1555" t="s">
        <v>280</v>
      </c>
      <c r="R2" s="1555" t="s">
        <v>281</v>
      </c>
      <c s="1555" t="s">
        <v>280</v>
      </c>
      <c r="X2" s="1555" t="s">
        <v>279</v>
      </c>
      <c s="1555" t="s">
        <v>280</v>
      </c>
      <c r="AD2" s="1555" t="s">
        <v>279</v>
      </c>
      <c s="1555" t="s">
        <v>280</v>
      </c>
      <c r="AJ2" s="1577"/>
      <c s="1577"/>
      <c s="1577"/>
      <c s="1577"/>
      <c s="1577"/>
      <c s="1577"/>
      <c s="1577"/>
      <c s="1577"/>
      <c s="1577"/>
      <c s="1577"/>
      <c s="1577"/>
      <c s="1577"/>
      <c s="1577"/>
      <c s="1577"/>
      <c s="1577"/>
      <c s="1577"/>
      <c s="1577"/>
      <c s="1577"/>
      <c s="1577"/>
      <c s="1577"/>
      <c s="1577"/>
      <c s="1577"/>
      <c s="1577"/>
      <c s="1577"/>
      <c s="1577"/>
      <c s="1577"/>
      <c s="1577"/>
      <c s="1577"/>
      <c s="1577"/>
      <c s="1555">
        <v>0</v>
      </c>
    </row>
    <row r="3" spans="36:65" s="1556" customFormat="1" ht="11.55" customHeight="1">
      <c r="AJ3" s="1576"/>
      <c s="308"/>
      <c s="1576"/>
      <c s="1576"/>
      <c s="1576"/>
      <c s="1576"/>
      <c s="1576"/>
      <c s="1576"/>
      <c s="1576"/>
      <c s="1576"/>
      <c s="1576"/>
      <c s="1576"/>
      <c s="1576"/>
      <c s="1576"/>
      <c s="1576"/>
      <c s="1576"/>
      <c s="1576"/>
      <c s="1576"/>
      <c s="1576"/>
      <c s="1576"/>
      <c s="1576"/>
      <c s="1576"/>
      <c s="1576"/>
      <c s="1576"/>
      <c s="1576"/>
      <c s="1576"/>
      <c s="1576"/>
      <c s="1576"/>
      <c s="1576"/>
      <c s="1556">
        <v>11</v>
      </c>
    </row>
    <row r="4" spans="1:65" s="1821" customFormat="1" ht="34.5" customHeight="1">
      <c r="A4" s="1158"/>
      <c s="1157"/>
      <c s="1517"/>
      <c s="2193" t="s">
        <v>282</v>
      </c>
      <c s="2193"/>
      <c s="2193"/>
      <c s="2193"/>
      <c s="2193"/>
      <c s="2193"/>
      <c s="2193"/>
      <c s="701"/>
      <c r="T4" s="1557"/>
      <c r="AJ4" s="1578"/>
      <c s="1579"/>
      <c s="1578"/>
      <c s="1578"/>
      <c s="1578"/>
      <c s="1578"/>
      <c s="1578"/>
      <c s="1578"/>
      <c s="1578"/>
      <c s="1578"/>
      <c s="1578"/>
      <c s="1578"/>
      <c s="1578"/>
      <c s="1578"/>
      <c s="1578"/>
      <c s="1578"/>
      <c s="1578"/>
      <c s="1578"/>
      <c s="1578"/>
      <c s="1578"/>
      <c s="1578"/>
      <c s="1578"/>
      <c s="1578"/>
      <c s="1578"/>
      <c s="1578"/>
      <c s="1578"/>
      <c s="1578"/>
      <c s="1578"/>
      <c s="1578"/>
      <c s="509">
        <v>33</v>
      </c>
    </row>
    <row r="5" spans="1:65" s="1821" customFormat="1" ht="14.7" customHeight="1">
      <c r="A5" s="1634"/>
      <c s="1633"/>
      <c s="1517"/>
      <c s="2178" t="str">
        <f>IF(org=0,"Не определено",org)</f>
        <v>ГУП КК "Кубаньводкомплекс"</v>
      </c>
      <c s="2178"/>
      <c s="2178"/>
      <c s="2178"/>
      <c s="2178"/>
      <c s="2178"/>
      <c s="2178"/>
      <c s="701"/>
      <c r="T5" s="1557"/>
      <c r="AJ5" s="1578"/>
      <c s="1579"/>
      <c s="1578"/>
      <c s="1578"/>
      <c s="1578"/>
      <c s="1578"/>
      <c s="1578"/>
      <c s="1578"/>
      <c s="1578"/>
      <c s="1578"/>
      <c s="1578"/>
      <c s="1578"/>
      <c s="1578"/>
      <c s="1578"/>
      <c s="1578"/>
      <c s="1578"/>
      <c s="1578"/>
      <c s="1578"/>
      <c s="1578"/>
      <c s="1578"/>
      <c s="1578"/>
      <c s="1578"/>
      <c s="1578"/>
      <c s="1578"/>
      <c s="1578"/>
      <c s="1578"/>
      <c s="1578"/>
      <c s="1578"/>
      <c s="1578"/>
      <c s="1611">
        <v>14</v>
      </c>
    </row>
    <row r="6" spans="1:65" s="1821" customFormat="1" ht="14.7" customHeight="1">
      <c r="A6" s="1158"/>
      <c s="1157"/>
      <c s="1517"/>
      <c s="701"/>
      <c s="701"/>
      <c s="701"/>
      <c s="701"/>
      <c s="701"/>
      <c s="701"/>
      <c s="701"/>
      <c s="701"/>
      <c r="T6" s="1557"/>
      <c r="AJ6" s="1578"/>
      <c s="1579"/>
      <c s="1578"/>
      <c s="1578"/>
      <c s="1578"/>
      <c s="1578"/>
      <c s="1578"/>
      <c s="1578"/>
      <c s="1578"/>
      <c s="1578"/>
      <c s="1578"/>
      <c s="1578"/>
      <c s="1578"/>
      <c s="1578"/>
      <c s="1578"/>
      <c s="1578"/>
      <c s="1578"/>
      <c s="1578"/>
      <c s="1578"/>
      <c s="1578"/>
      <c s="1578"/>
      <c s="1578"/>
      <c s="1578"/>
      <c s="1578"/>
      <c s="1578"/>
      <c s="1578"/>
      <c s="1578"/>
      <c s="1578"/>
      <c s="1578"/>
      <c s="509">
        <v>14</v>
      </c>
    </row>
    <row r="7" spans="36:65" s="1318" customFormat="1" ht="1.05" customHeight="1">
      <c r="AJ7" s="424"/>
      <c s="424"/>
      <c s="424"/>
      <c s="424"/>
      <c s="424"/>
      <c s="424"/>
      <c s="424"/>
      <c s="424"/>
      <c s="424"/>
      <c s="424"/>
      <c s="424"/>
      <c s="424"/>
      <c s="424"/>
      <c s="424"/>
      <c s="424"/>
      <c s="424"/>
      <c s="424"/>
      <c s="424"/>
      <c s="424"/>
      <c s="424"/>
      <c s="424"/>
      <c s="424"/>
      <c s="424"/>
      <c s="424"/>
      <c s="424"/>
      <c s="424"/>
      <c s="424"/>
      <c s="424"/>
      <c s="424"/>
      <c s="421">
        <v>1</v>
      </c>
    </row>
    <row r="8" spans="4:65" ht="33.75" customHeight="1">
      <c r="D8" s="2129" t="s">
        <v>87</v>
      </c>
      <c s="2129" t="s">
        <v>105</v>
      </c>
      <c s="2194" t="s">
        <v>124</v>
      </c>
      <c s="2195"/>
      <c s="2194" t="s">
        <v>87</v>
      </c>
      <c s="2195"/>
      <c s="2129" t="s">
        <v>125</v>
      </c>
      <c s="1558"/>
      <c s="2198" t="s">
        <v>283</v>
      </c>
      <c s="2198"/>
      <c s="2198"/>
      <c s="2198"/>
      <c s="2198"/>
      <c s="1559"/>
      <c s="2098" t="s">
        <v>284</v>
      </c>
      <c s="2199"/>
      <c s="2199"/>
      <c s="2199"/>
      <c s="2199"/>
      <c s="1559"/>
      <c s="2200" t="s">
        <v>285</v>
      </c>
      <c s="2200"/>
      <c s="2200"/>
      <c s="2200"/>
      <c s="2200"/>
      <c s="1560"/>
      <c s="2129" t="s">
        <v>286</v>
      </c>
      <c s="2129"/>
      <c s="2129"/>
      <c s="2129"/>
      <c s="2103"/>
      <c s="2129" t="s">
        <v>287</v>
      </c>
      <c s="1576"/>
      <c r="BM8" s="295">
        <v>32</v>
      </c>
    </row>
    <row r="9" spans="4:65" ht="23.25" customHeight="1">
      <c r="D9" s="2129"/>
      <c s="2129"/>
      <c s="2177" t="s">
        <v>88</v>
      </c>
      <c s="2177" t="s">
        <v>130</v>
      </c>
      <c s="2196"/>
      <c s="2197"/>
      <c s="2103"/>
      <c s="1561"/>
      <c s="2129" t="s">
        <v>288</v>
      </c>
      <c s="2103"/>
      <c s="2194" t="s">
        <v>87</v>
      </c>
      <c s="2195"/>
      <c s="2129" t="s">
        <v>131</v>
      </c>
      <c s="1558"/>
      <c s="2129" t="s">
        <v>288</v>
      </c>
      <c s="2103"/>
      <c s="2194" t="s">
        <v>87</v>
      </c>
      <c s="2195"/>
      <c s="2129" t="s">
        <v>131</v>
      </c>
      <c s="1558"/>
      <c s="2129" t="s">
        <v>288</v>
      </c>
      <c s="2103"/>
      <c s="2194" t="s">
        <v>87</v>
      </c>
      <c s="2195"/>
      <c s="2129" t="s">
        <v>289</v>
      </c>
      <c s="1558"/>
      <c s="2129" t="s">
        <v>288</v>
      </c>
      <c s="2103"/>
      <c s="2194" t="s">
        <v>87</v>
      </c>
      <c s="2195"/>
      <c s="2103" t="s">
        <v>289</v>
      </c>
      <c s="2129"/>
      <c s="1576"/>
      <c r="BM9" s="295">
        <v>22</v>
      </c>
    </row>
    <row r="10" spans="4:65" ht="24" customHeight="1">
      <c r="D10" s="2177"/>
      <c s="2177"/>
      <c s="2201"/>
      <c s="2201"/>
      <c s="2202"/>
      <c s="2203"/>
      <c s="2194"/>
      <c s="1561"/>
      <c s="1580" t="s">
        <v>290</v>
      </c>
      <c s="1575" t="s">
        <v>291</v>
      </c>
      <c s="2196"/>
      <c s="2197"/>
      <c s="2177"/>
      <c s="1558"/>
      <c s="1580" t="s">
        <v>290</v>
      </c>
      <c s="1575" t="s">
        <v>291</v>
      </c>
      <c s="2196"/>
      <c s="2197"/>
      <c s="2177"/>
      <c s="1558"/>
      <c s="1580" t="s">
        <v>290</v>
      </c>
      <c s="1575" t="s">
        <v>291</v>
      </c>
      <c s="2196"/>
      <c s="2197"/>
      <c s="2177"/>
      <c s="1558"/>
      <c s="1580" t="s">
        <v>290</v>
      </c>
      <c s="1575" t="s">
        <v>291</v>
      </c>
      <c s="2196"/>
      <c s="2197"/>
      <c s="2194"/>
      <c s="2177"/>
      <c s="1576"/>
      <c s="256" t="s">
        <v>292</v>
      </c>
      <c s="256" t="s">
        <v>132</v>
      </c>
      <c r="BM10" s="295">
        <v>23</v>
      </c>
    </row>
    <row r="11" spans="4:65" ht="15" customHeight="1">
      <c r="D11" s="2185" t="s">
        <v>109</v>
      </c>
      <c s="2181" t="s">
        <v>293</v>
      </c>
      <c s="2181" t="s">
        <v>294</v>
      </c>
      <c s="2187" t="s">
        <v>19</v>
      </c>
      <c s="1601"/>
      <c s="2183"/>
      <c s="2154"/>
      <c s="1516"/>
      <c s="2139"/>
      <c s="2139"/>
      <c s="1586"/>
      <c s="2139"/>
      <c s="2154"/>
      <c s="1587"/>
      <c s="2139"/>
      <c s="2139"/>
      <c s="1588"/>
      <c s="2139"/>
      <c s="2154"/>
      <c s="1589"/>
      <c s="2139"/>
      <c s="2139"/>
      <c s="1586"/>
      <c s="2139"/>
      <c s="2154"/>
      <c s="1590"/>
      <c s="2139"/>
      <c s="2139"/>
      <c s="1515"/>
      <c s="1515"/>
      <c s="1591"/>
      <c s="1298"/>
      <c s="1576"/>
      <c r="BM11" s="295">
        <v>14</v>
      </c>
    </row>
    <row r="12" spans="4:65" ht="14.7" customHeight="1">
      <c r="D12" s="2185"/>
      <c s="2181"/>
      <c s="2181"/>
      <c s="2188"/>
      <c s="1602"/>
      <c s="2184"/>
      <c s="2155"/>
      <c s="1612"/>
      <c s="2140"/>
      <c s="2140"/>
      <c s="1592"/>
      <c s="2140"/>
      <c s="2155"/>
      <c s="1593"/>
      <c s="2140"/>
      <c s="2140"/>
      <c s="1594"/>
      <c s="2140"/>
      <c s="2155"/>
      <c s="1595"/>
      <c s="2140"/>
      <c s="2140"/>
      <c s="1592"/>
      <c s="2140"/>
      <c s="2155"/>
      <c s="1596"/>
      <c s="2140"/>
      <c s="2140"/>
      <c s="1597"/>
      <c s="1597"/>
      <c s="2179"/>
      <c s="2180"/>
      <c s="1576"/>
      <c r="BM12" s="295">
        <v>14</v>
      </c>
    </row>
    <row r="13" spans="4:65" ht="14.7" customHeight="1">
      <c r="D13" s="2185"/>
      <c s="2181"/>
      <c s="2181"/>
      <c s="2188"/>
      <c s="1602"/>
      <c s="2184"/>
      <c s="2155"/>
      <c s="1612"/>
      <c s="2140"/>
      <c s="2140"/>
      <c s="1592"/>
      <c s="2140"/>
      <c s="2155"/>
      <c s="1593"/>
      <c s="2140"/>
      <c s="2140"/>
      <c s="1594"/>
      <c s="2140"/>
      <c s="2155"/>
      <c s="1595"/>
      <c s="2140"/>
      <c s="2140"/>
      <c s="1514"/>
      <c s="1597"/>
      <c s="2179"/>
      <c s="2179"/>
      <c s="2179"/>
      <c s="2179"/>
      <c s="2179"/>
      <c s="2179"/>
      <c s="2179"/>
      <c s="2180"/>
      <c s="1576"/>
      <c r="BM13" s="295">
        <v>14</v>
      </c>
    </row>
    <row r="14" spans="4:65" ht="14.7" customHeight="1">
      <c r="D14" s="2185"/>
      <c s="2181"/>
      <c s="2181"/>
      <c s="2188"/>
      <c s="1602"/>
      <c s="2184"/>
      <c s="2155"/>
      <c s="1612"/>
      <c s="2140"/>
      <c s="2140"/>
      <c s="1592"/>
      <c s="2140"/>
      <c s="2155"/>
      <c s="1593"/>
      <c s="2140"/>
      <c s="2140"/>
      <c s="1598"/>
      <c s="1599"/>
      <c s="2179"/>
      <c s="2179"/>
      <c s="2179"/>
      <c s="2179"/>
      <c s="2179"/>
      <c s="2179"/>
      <c s="2179"/>
      <c s="2179"/>
      <c s="2179"/>
      <c s="2179"/>
      <c s="2179"/>
      <c s="2179"/>
      <c s="2179"/>
      <c s="2180"/>
      <c s="1576"/>
      <c r="BM14" s="295">
        <v>14</v>
      </c>
    </row>
    <row r="15" spans="4:65" ht="11.55" customHeight="1">
      <c r="D15" s="2185"/>
      <c s="2181"/>
      <c s="2181"/>
      <c s="2188"/>
      <c s="1603"/>
      <c s="2184"/>
      <c s="2155"/>
      <c s="1612"/>
      <c s="2140"/>
      <c s="2140"/>
      <c s="1597"/>
      <c s="1597"/>
      <c s="2179"/>
      <c s="2179"/>
      <c s="2179"/>
      <c s="2179"/>
      <c s="2179"/>
      <c s="2179"/>
      <c s="2179"/>
      <c s="2179"/>
      <c s="2179"/>
      <c s="2179"/>
      <c s="2179"/>
      <c s="2179"/>
      <c s="2179"/>
      <c s="2179"/>
      <c s="2179"/>
      <c s="2179"/>
      <c s="2179"/>
      <c s="2179"/>
      <c s="2179"/>
      <c s="2180"/>
      <c s="1576"/>
      <c r="BM15" s="295">
        <v>11</v>
      </c>
    </row>
    <row r="16" spans="4:65" s="1556" customFormat="1" ht="11.55" customHeight="1">
      <c r="D16"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17" spans="4:65" ht="15" customHeight="1">
      <c r="D17" s="2185" t="s">
        <v>110</v>
      </c>
      <c s="2181" t="s">
        <v>293</v>
      </c>
      <c s="2181" t="s">
        <v>295</v>
      </c>
      <c s="2187" t="s">
        <v>19</v>
      </c>
      <c s="1601"/>
      <c s="2183"/>
      <c s="2154"/>
      <c s="1516"/>
      <c s="2139"/>
      <c s="2139"/>
      <c s="1586"/>
      <c s="2139"/>
      <c s="2154"/>
      <c s="1587"/>
      <c s="2139"/>
      <c s="2139"/>
      <c s="1588"/>
      <c s="2139"/>
      <c s="2154"/>
      <c s="1589"/>
      <c s="2139"/>
      <c s="2139"/>
      <c s="1586"/>
      <c s="2139"/>
      <c s="2154"/>
      <c s="1590"/>
      <c s="2139"/>
      <c s="2139"/>
      <c s="1515"/>
      <c s="1515"/>
      <c s="1591"/>
      <c s="1298"/>
      <c s="1576"/>
      <c r="BM17" s="295">
        <v>14</v>
      </c>
    </row>
    <row r="18" spans="4:65" ht="14.7" customHeight="1">
      <c r="D18" s="2185"/>
      <c s="2181"/>
      <c s="2181"/>
      <c s="2188"/>
      <c s="1602"/>
      <c s="2184"/>
      <c s="2155"/>
      <c s="1585"/>
      <c s="2140"/>
      <c s="2140"/>
      <c s="1592"/>
      <c s="2140"/>
      <c s="2155"/>
      <c s="1593"/>
      <c s="2140"/>
      <c s="2140"/>
      <c s="1594"/>
      <c s="2140"/>
      <c s="2155"/>
      <c s="1595"/>
      <c s="2140"/>
      <c s="2140"/>
      <c s="1592"/>
      <c s="2140"/>
      <c s="2155"/>
      <c s="1596"/>
      <c s="2140"/>
      <c s="2140"/>
      <c s="1597"/>
      <c s="1597"/>
      <c s="2179"/>
      <c s="2180"/>
      <c s="1576"/>
      <c r="BM18" s="295">
        <v>14</v>
      </c>
    </row>
    <row r="19" spans="4:65" ht="14.7" customHeight="1">
      <c r="D19" s="2185"/>
      <c s="2181"/>
      <c s="2181"/>
      <c s="2188"/>
      <c s="1602"/>
      <c s="2184"/>
      <c s="2155"/>
      <c s="1585"/>
      <c s="2140"/>
      <c s="2140"/>
      <c s="1592"/>
      <c s="2140"/>
      <c s="2155"/>
      <c s="1593"/>
      <c s="2140"/>
      <c s="2140"/>
      <c s="1594"/>
      <c s="2140"/>
      <c s="2155"/>
      <c s="1595"/>
      <c s="2140"/>
      <c s="2140"/>
      <c s="1514"/>
      <c s="1597"/>
      <c s="2179"/>
      <c s="2179"/>
      <c s="2179"/>
      <c s="2179"/>
      <c s="2179"/>
      <c s="2179"/>
      <c s="2179"/>
      <c s="2180"/>
      <c s="1576"/>
      <c r="BM19" s="295">
        <v>14</v>
      </c>
    </row>
    <row r="20" spans="4:65" ht="14.7" customHeight="1">
      <c r="D20" s="2185"/>
      <c s="2181"/>
      <c s="2181"/>
      <c s="2188"/>
      <c s="1602"/>
      <c s="2184"/>
      <c s="2155"/>
      <c s="1585"/>
      <c s="2140"/>
      <c s="2140"/>
      <c s="1592"/>
      <c s="2140"/>
      <c s="2155"/>
      <c s="1593"/>
      <c s="2140"/>
      <c s="2140"/>
      <c s="1598"/>
      <c s="1599"/>
      <c s="2179"/>
      <c s="2179"/>
      <c s="2179"/>
      <c s="2179"/>
      <c s="2179"/>
      <c s="2179"/>
      <c s="2179"/>
      <c s="2179"/>
      <c s="2179"/>
      <c s="2179"/>
      <c s="2179"/>
      <c s="2179"/>
      <c s="2179"/>
      <c s="2180"/>
      <c s="1576"/>
      <c r="BM20" s="295">
        <v>14</v>
      </c>
    </row>
    <row r="21" spans="4:65" ht="11.55" customHeight="1">
      <c r="D21" s="2185"/>
      <c s="2181"/>
      <c s="2181"/>
      <c s="2188"/>
      <c s="1603"/>
      <c s="2184"/>
      <c s="2155"/>
      <c s="1585"/>
      <c s="2140"/>
      <c s="2140"/>
      <c s="1597"/>
      <c s="1597"/>
      <c s="2179"/>
      <c s="2179"/>
      <c s="2179"/>
      <c s="2179"/>
      <c s="2179"/>
      <c s="2179"/>
      <c s="2179"/>
      <c s="2179"/>
      <c s="2179"/>
      <c s="2179"/>
      <c s="2179"/>
      <c s="2179"/>
      <c s="2179"/>
      <c s="2179"/>
      <c s="2179"/>
      <c s="2179"/>
      <c s="2179"/>
      <c s="2179"/>
      <c s="2179"/>
      <c s="2180"/>
      <c s="1576"/>
      <c r="BM21" s="295">
        <v>11</v>
      </c>
    </row>
    <row r="22" spans="4:65" s="1556" customFormat="1" ht="11.55" customHeight="1">
      <c r="D22"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23" spans="4:65" ht="15" customHeight="1">
      <c r="D23" s="2185" t="s">
        <v>89</v>
      </c>
      <c s="2181" t="s">
        <v>293</v>
      </c>
      <c s="2181" t="s">
        <v>296</v>
      </c>
      <c s="2187" t="s">
        <v>19</v>
      </c>
      <c s="1601"/>
      <c s="2183"/>
      <c s="2154"/>
      <c s="1516"/>
      <c s="2139"/>
      <c s="2139"/>
      <c s="1586"/>
      <c s="2139"/>
      <c s="2154"/>
      <c s="1587"/>
      <c s="2139"/>
      <c s="2139"/>
      <c s="1588"/>
      <c s="2139"/>
      <c s="2154"/>
      <c s="1589"/>
      <c s="2139"/>
      <c s="2139"/>
      <c s="1586"/>
      <c s="2139"/>
      <c s="2154"/>
      <c s="1590"/>
      <c s="2139"/>
      <c s="2139"/>
      <c s="1515"/>
      <c s="1515"/>
      <c s="1591"/>
      <c s="1298"/>
      <c s="1576"/>
      <c s="308" t="s">
        <v>97</v>
      </c>
      <c r="BM23" s="295">
        <v>14</v>
      </c>
    </row>
    <row r="24" spans="4:65" ht="14.7" customHeight="1">
      <c r="D24" s="2185"/>
      <c s="2181"/>
      <c s="2181"/>
      <c s="2188"/>
      <c s="1602"/>
      <c s="2184"/>
      <c s="2155"/>
      <c s="1612"/>
      <c s="2140"/>
      <c s="2140"/>
      <c s="1592"/>
      <c s="2140"/>
      <c s="2155"/>
      <c s="1593"/>
      <c s="2140"/>
      <c s="2140"/>
      <c s="1594"/>
      <c s="2140"/>
      <c s="2155"/>
      <c s="1595"/>
      <c s="2140"/>
      <c s="2140"/>
      <c s="1592"/>
      <c s="2140"/>
      <c s="2155"/>
      <c s="1596"/>
      <c s="2140"/>
      <c s="2140"/>
      <c s="1597"/>
      <c s="1597"/>
      <c s="2179"/>
      <c s="2180"/>
      <c s="1576"/>
      <c r="BM24" s="295">
        <v>14</v>
      </c>
    </row>
    <row r="25" spans="4:65" ht="14.7" customHeight="1">
      <c r="D25" s="2185"/>
      <c s="2181"/>
      <c s="2181"/>
      <c s="2188"/>
      <c s="1602"/>
      <c s="2184"/>
      <c s="2155"/>
      <c s="1612"/>
      <c s="2140"/>
      <c s="2140"/>
      <c s="1592"/>
      <c s="2140"/>
      <c s="2155"/>
      <c s="1593"/>
      <c s="2140"/>
      <c s="2140"/>
      <c s="1594"/>
      <c s="2140"/>
      <c s="2155"/>
      <c s="1595"/>
      <c s="2140"/>
      <c s="2140"/>
      <c s="1514"/>
      <c s="1597"/>
      <c s="2179"/>
      <c s="2179"/>
      <c s="2179"/>
      <c s="2179"/>
      <c s="2179"/>
      <c s="2179"/>
      <c s="2179"/>
      <c s="2180"/>
      <c s="1576"/>
      <c r="BM25" s="295">
        <v>14</v>
      </c>
    </row>
    <row r="26" spans="4:65" ht="14.7" customHeight="1">
      <c r="D26" s="2185"/>
      <c s="2181"/>
      <c s="2181"/>
      <c s="2188"/>
      <c s="1602"/>
      <c s="2184"/>
      <c s="2155"/>
      <c s="1612"/>
      <c s="2140"/>
      <c s="2140"/>
      <c s="1592"/>
      <c s="2140"/>
      <c s="2155"/>
      <c s="1593"/>
      <c s="2140"/>
      <c s="2140"/>
      <c s="1598"/>
      <c s="1599"/>
      <c s="2179"/>
      <c s="2179"/>
      <c s="2179"/>
      <c s="2179"/>
      <c s="2179"/>
      <c s="2179"/>
      <c s="2179"/>
      <c s="2179"/>
      <c s="2179"/>
      <c s="2179"/>
      <c s="2179"/>
      <c s="2179"/>
      <c s="2179"/>
      <c s="2180"/>
      <c s="1576"/>
      <c r="BM26" s="295">
        <v>14</v>
      </c>
    </row>
    <row r="27" spans="4:65" ht="11.55" customHeight="1">
      <c r="D27" s="2185"/>
      <c s="2181"/>
      <c s="2181"/>
      <c s="2188"/>
      <c s="1603"/>
      <c s="2184"/>
      <c s="2155"/>
      <c s="1612"/>
      <c s="2140"/>
      <c s="2140"/>
      <c s="1597"/>
      <c s="1597"/>
      <c s="2179"/>
      <c s="2179"/>
      <c s="2179"/>
      <c s="2179"/>
      <c s="2179"/>
      <c s="2179"/>
      <c s="2179"/>
      <c s="2179"/>
      <c s="2179"/>
      <c s="2179"/>
      <c s="2179"/>
      <c s="2179"/>
      <c s="2179"/>
      <c s="2179"/>
      <c s="2179"/>
      <c s="2179"/>
      <c s="2179"/>
      <c s="2179"/>
      <c s="2179"/>
      <c s="2180"/>
      <c s="1576"/>
      <c r="BM27" s="295">
        <v>11</v>
      </c>
    </row>
    <row r="28" spans="4:65" s="1556" customFormat="1" ht="11.55" customHeight="1">
      <c r="D28"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29" spans="4:65" ht="15" customHeight="1">
      <c r="D29" s="2185" t="s">
        <v>90</v>
      </c>
      <c s="2181" t="s">
        <v>293</v>
      </c>
      <c s="2181" t="s">
        <v>297</v>
      </c>
      <c s="2187" t="s">
        <v>19</v>
      </c>
      <c s="1601"/>
      <c s="2183"/>
      <c s="2154"/>
      <c s="1516"/>
      <c s="2139"/>
      <c s="2139"/>
      <c s="1586"/>
      <c s="2139"/>
      <c s="2154"/>
      <c s="1587"/>
      <c s="2139"/>
      <c s="2139"/>
      <c s="1588"/>
      <c s="2139"/>
      <c s="2154"/>
      <c s="1589"/>
      <c s="2139"/>
      <c s="2139"/>
      <c s="1586"/>
      <c s="2139"/>
      <c s="2154"/>
      <c s="1590"/>
      <c s="2139"/>
      <c s="2139"/>
      <c s="1515"/>
      <c s="1515"/>
      <c s="1591"/>
      <c s="1298"/>
      <c s="1576"/>
      <c r="BM29" s="295">
        <v>14</v>
      </c>
    </row>
    <row r="30" spans="4:65" ht="14.7" customHeight="1">
      <c r="D30" s="2185"/>
      <c s="2181"/>
      <c s="2181"/>
      <c s="2188"/>
      <c s="1602"/>
      <c s="2184"/>
      <c s="2155"/>
      <c s="1585"/>
      <c s="2140"/>
      <c s="2140"/>
      <c s="1592"/>
      <c s="2140"/>
      <c s="2155"/>
      <c s="1593"/>
      <c s="2140"/>
      <c s="2140"/>
      <c s="1594"/>
      <c s="2140"/>
      <c s="2155"/>
      <c s="1595"/>
      <c s="2140"/>
      <c s="2140"/>
      <c s="1592"/>
      <c s="2140"/>
      <c s="2155"/>
      <c s="1596"/>
      <c s="2140"/>
      <c s="2140"/>
      <c s="1597"/>
      <c s="1597"/>
      <c s="2179"/>
      <c s="2180"/>
      <c s="1576"/>
      <c r="BM30" s="295">
        <v>14</v>
      </c>
    </row>
    <row r="31" spans="4:65" ht="14.7" customHeight="1">
      <c r="D31" s="2185"/>
      <c s="2181"/>
      <c s="2181"/>
      <c s="2188"/>
      <c s="1602"/>
      <c s="2184"/>
      <c s="2155"/>
      <c s="1585"/>
      <c s="2140"/>
      <c s="2140"/>
      <c s="1592"/>
      <c s="2140"/>
      <c s="2155"/>
      <c s="1593"/>
      <c s="2140"/>
      <c s="2140"/>
      <c s="1594"/>
      <c s="2140"/>
      <c s="2155"/>
      <c s="1595"/>
      <c s="2140"/>
      <c s="2140"/>
      <c s="1514"/>
      <c s="1597"/>
      <c s="2179"/>
      <c s="2179"/>
      <c s="2179"/>
      <c s="2179"/>
      <c s="2179"/>
      <c s="2179"/>
      <c s="2179"/>
      <c s="2180"/>
      <c s="1576"/>
      <c r="BM31" s="295">
        <v>14</v>
      </c>
    </row>
    <row r="32" spans="4:65" ht="14.7" customHeight="1">
      <c r="D32" s="2185"/>
      <c s="2181"/>
      <c s="2181"/>
      <c s="2188"/>
      <c s="1602"/>
      <c s="2184"/>
      <c s="2155"/>
      <c s="1585"/>
      <c s="2140"/>
      <c s="2140"/>
      <c s="1592"/>
      <c s="2140"/>
      <c s="2155"/>
      <c s="1593"/>
      <c s="2140"/>
      <c s="2140"/>
      <c s="1598"/>
      <c s="1599"/>
      <c s="2179"/>
      <c s="2179"/>
      <c s="2179"/>
      <c s="2179"/>
      <c s="2179"/>
      <c s="2179"/>
      <c s="2179"/>
      <c s="2179"/>
      <c s="2179"/>
      <c s="2179"/>
      <c s="2179"/>
      <c s="2179"/>
      <c s="2179"/>
      <c s="2180"/>
      <c s="1576"/>
      <c r="BM32" s="295">
        <v>14</v>
      </c>
    </row>
    <row r="33" spans="4:65" ht="11.55" customHeight="1">
      <c r="D33" s="2185"/>
      <c s="2181"/>
      <c s="2181"/>
      <c s="2188"/>
      <c s="1603"/>
      <c s="2184"/>
      <c s="2155"/>
      <c s="1585"/>
      <c s="2140"/>
      <c s="2140"/>
      <c s="1597"/>
      <c s="1597"/>
      <c s="2179"/>
      <c s="2179"/>
      <c s="2179"/>
      <c s="2179"/>
      <c s="2179"/>
      <c s="2179"/>
      <c s="2179"/>
      <c s="2179"/>
      <c s="2179"/>
      <c s="2179"/>
      <c s="2179"/>
      <c s="2179"/>
      <c s="2179"/>
      <c s="2179"/>
      <c s="2179"/>
      <c s="2179"/>
      <c s="2179"/>
      <c s="2179"/>
      <c s="2179"/>
      <c s="2180"/>
      <c s="1576"/>
      <c r="BM33" s="295">
        <v>11</v>
      </c>
    </row>
    <row r="34" spans="4:65" s="1556" customFormat="1" ht="11.55" customHeight="1">
      <c r="D34"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35" spans="4:65" ht="15" customHeight="1">
      <c r="D35" s="2185" t="s">
        <v>111</v>
      </c>
      <c s="2181" t="s">
        <v>293</v>
      </c>
      <c s="2181" t="s">
        <v>298</v>
      </c>
      <c s="2187" t="s">
        <v>19</v>
      </c>
      <c s="1601"/>
      <c s="2183"/>
      <c s="2154"/>
      <c s="1516"/>
      <c s="2139"/>
      <c s="2139"/>
      <c s="1586"/>
      <c s="2139"/>
      <c s="2154"/>
      <c s="1587"/>
      <c s="2139"/>
      <c s="2139"/>
      <c s="1588"/>
      <c s="2139"/>
      <c s="2154"/>
      <c s="1589"/>
      <c s="2139"/>
      <c s="2139"/>
      <c s="1586"/>
      <c s="2139"/>
      <c s="2154"/>
      <c s="1590"/>
      <c s="2139"/>
      <c s="2139"/>
      <c s="1515"/>
      <c s="1515"/>
      <c s="1591"/>
      <c s="1298"/>
      <c s="1576"/>
      <c r="BM35" s="295">
        <v>14</v>
      </c>
    </row>
    <row r="36" spans="4:65" ht="14.7" customHeight="1">
      <c r="D36" s="2185"/>
      <c s="2181"/>
      <c s="2181"/>
      <c s="2188"/>
      <c s="1602"/>
      <c s="2184"/>
      <c s="2155"/>
      <c s="1585"/>
      <c s="2140"/>
      <c s="2140"/>
      <c s="1592"/>
      <c s="2140"/>
      <c s="2155"/>
      <c s="1593"/>
      <c s="2140"/>
      <c s="2140"/>
      <c s="1594"/>
      <c s="2140"/>
      <c s="2155"/>
      <c s="1595"/>
      <c s="2140"/>
      <c s="2140"/>
      <c s="1592"/>
      <c s="2140"/>
      <c s="2155"/>
      <c s="1596"/>
      <c s="2140"/>
      <c s="2140"/>
      <c s="1597"/>
      <c s="1597"/>
      <c s="2179"/>
      <c s="2180"/>
      <c s="1576"/>
      <c r="BM36" s="295">
        <v>14</v>
      </c>
    </row>
    <row r="37" spans="4:65" ht="14.7" customHeight="1">
      <c r="D37" s="2185"/>
      <c s="2181"/>
      <c s="2181"/>
      <c s="2188"/>
      <c s="1602"/>
      <c s="2184"/>
      <c s="2155"/>
      <c s="1585"/>
      <c s="2140"/>
      <c s="2140"/>
      <c s="1592"/>
      <c s="2140"/>
      <c s="2155"/>
      <c s="1593"/>
      <c s="2140"/>
      <c s="2140"/>
      <c s="1594"/>
      <c s="2140"/>
      <c s="2155"/>
      <c s="1595"/>
      <c s="2140"/>
      <c s="2140"/>
      <c s="1514"/>
      <c s="1597"/>
      <c s="2179"/>
      <c s="2179"/>
      <c s="2179"/>
      <c s="2179"/>
      <c s="2179"/>
      <c s="2179"/>
      <c s="2179"/>
      <c s="2180"/>
      <c s="1576"/>
      <c r="BM37" s="295">
        <v>14</v>
      </c>
    </row>
    <row r="38" spans="4:65" ht="14.7" customHeight="1">
      <c r="D38" s="2185"/>
      <c s="2181"/>
      <c s="2181"/>
      <c s="2188"/>
      <c s="1602"/>
      <c s="2184"/>
      <c s="2155"/>
      <c s="1585"/>
      <c s="2140"/>
      <c s="2140"/>
      <c s="1592"/>
      <c s="2140"/>
      <c s="2155"/>
      <c s="1593"/>
      <c s="2140"/>
      <c s="2140"/>
      <c s="1598"/>
      <c s="1599"/>
      <c s="2179"/>
      <c s="2179"/>
      <c s="2179"/>
      <c s="2179"/>
      <c s="2179"/>
      <c s="2179"/>
      <c s="2179"/>
      <c s="2179"/>
      <c s="2179"/>
      <c s="2179"/>
      <c s="2179"/>
      <c s="2179"/>
      <c s="2179"/>
      <c s="2180"/>
      <c s="1576"/>
      <c r="BM38" s="295">
        <v>14</v>
      </c>
    </row>
    <row r="39" spans="4:65" ht="11.55" customHeight="1">
      <c r="D39" s="2185"/>
      <c s="2181"/>
      <c s="2181"/>
      <c s="2188"/>
      <c s="1603"/>
      <c s="2184"/>
      <c s="2155"/>
      <c s="1585"/>
      <c s="2140"/>
      <c s="2140"/>
      <c s="1597"/>
      <c s="1597"/>
      <c s="2179"/>
      <c s="2179"/>
      <c s="2179"/>
      <c s="2179"/>
      <c s="2179"/>
      <c s="2179"/>
      <c s="2179"/>
      <c s="2179"/>
      <c s="2179"/>
      <c s="2179"/>
      <c s="2179"/>
      <c s="2179"/>
      <c s="2179"/>
      <c s="2179"/>
      <c s="2179"/>
      <c s="2179"/>
      <c s="2179"/>
      <c s="2179"/>
      <c s="2179"/>
      <c s="2180"/>
      <c s="1576"/>
      <c r="BM39" s="295">
        <v>11</v>
      </c>
    </row>
    <row r="40" spans="4:65" s="1556" customFormat="1" ht="11.55" customHeight="1">
      <c r="D40" s="2185"/>
      <c s="2181"/>
      <c s="2186"/>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41" spans="37:65" ht="11.55" customHeight="1">
      <c r="AK41" s="425"/>
      <c r="BM41" s="295">
        <v>11</v>
      </c>
    </row>
    <row r="42" spans="37:65" ht="11.55" customHeight="1">
      <c r="AK42" s="425"/>
      <c r="BM42" s="295">
        <v>11</v>
      </c>
    </row>
    <row r="43" spans="37:65" ht="11.55" customHeight="1">
      <c r="AK43" s="425"/>
      <c r="BM43" s="295">
        <v>11</v>
      </c>
    </row>
    <row r="44" spans="37:65" ht="11.55" customHeight="1">
      <c r="AK44" s="425"/>
      <c r="BM44" s="295">
        <v>11</v>
      </c>
    </row>
    <row r="45" spans="37:65" ht="11.55" customHeight="1">
      <c r="AK45" s="425"/>
      <c r="BM45" s="295">
        <v>11</v>
      </c>
    </row>
    <row r="46" spans="37:65" ht="11.55" customHeight="1">
      <c r="AK46" s="425"/>
      <c r="BM46" s="295">
        <v>11</v>
      </c>
    </row>
    <row r="47" spans="37:65" ht="11.55" customHeight="1">
      <c r="AK47" s="425"/>
      <c r="BM47" s="295">
        <v>11</v>
      </c>
    </row>
    <row r="48" spans="37:65" ht="11.55" customHeight="1">
      <c r="AK48" s="425"/>
      <c r="BM48" s="295">
        <v>11</v>
      </c>
    </row>
    <row r="49" spans="37:65" ht="11.55" customHeight="1">
      <c r="AK49" s="425"/>
      <c r="BM49" s="295">
        <v>11</v>
      </c>
    </row>
    <row r="50" spans="1:65" ht="11.25" customHeight="1" hidden="1">
      <c r="A50" s="295" t="s">
        <v>81</v>
      </c>
      <c s="295">
        <v>0</v>
      </c>
      <c s="295">
        <v>3</v>
      </c>
      <c s="295">
        <v>3</v>
      </c>
      <c s="295">
        <v>15</v>
      </c>
      <c s="295">
        <v>15</v>
      </c>
      <c s="295">
        <v>11</v>
      </c>
      <c s="295">
        <v>3</v>
      </c>
      <c s="295">
        <v>3</v>
      </c>
      <c s="295">
        <v>12</v>
      </c>
      <c s="295">
        <v>0</v>
      </c>
      <c s="295">
        <v>10</v>
      </c>
      <c s="295">
        <v>10</v>
      </c>
      <c s="295">
        <v>3</v>
      </c>
      <c s="295">
        <v>3</v>
      </c>
      <c s="295">
        <v>19</v>
      </c>
      <c s="295">
        <v>0</v>
      </c>
      <c s="295">
        <v>10</v>
      </c>
      <c s="295">
        <v>10</v>
      </c>
      <c s="295">
        <v>3</v>
      </c>
      <c s="295">
        <v>3</v>
      </c>
      <c s="295">
        <v>25</v>
      </c>
      <c s="295">
        <v>0</v>
      </c>
      <c s="295">
        <v>10</v>
      </c>
      <c s="295">
        <v>10</v>
      </c>
      <c s="295">
        <v>3</v>
      </c>
      <c s="295">
        <v>3</v>
      </c>
      <c s="295">
        <v>16</v>
      </c>
      <c s="295">
        <v>0</v>
      </c>
      <c s="295">
        <v>10</v>
      </c>
      <c s="295">
        <v>10</v>
      </c>
      <c s="295">
        <v>3</v>
      </c>
      <c s="295">
        <v>3</v>
      </c>
      <c s="295">
        <v>8</v>
      </c>
      <c s="295">
        <v>21</v>
      </c>
      <c s="425">
        <v>8</v>
      </c>
      <c s="308">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295">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6B1D95-B2E7-E4F1-93F9-0.C2E5EF06}"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8" hidden="1" customWidth="1"/>
    <col min="2" max="2" width="15" style="503" hidden="1" customWidth="1"/>
    <col min="3" max="3" width="3" style="457" customWidth="1"/>
    <col min="4" max="4" width="6" style="458" customWidth="1"/>
    <col min="5" max="5" width="52" style="457" customWidth="1"/>
    <col min="6" max="6" width="48" style="457" customWidth="1"/>
    <col min="7" max="7" width="121" style="457" customWidth="1"/>
    <col min="8" max="8" width="8" style="457" customWidth="1"/>
    <col min="9" max="9" width="64" style="457" customWidth="1"/>
    <col min="10" max="10" width="9.14285714285714" style="457" hidden="1"/>
  </cols>
  <sheetData>
    <row r="1" spans="1:10" ht="11.25" customHeight="1" hidden="1">
      <c r="A1" s="1688" t="s">
        <v>299</v>
      </c>
      <c r="J1" s="457" t="s">
        <v>14</v>
      </c>
    </row>
    <row r="2" spans="10:10" ht="11.25" customHeight="1" hidden="1">
      <c r="J2" s="457">
        <v>0</v>
      </c>
    </row>
    <row r="3" spans="1:10" s="479" customFormat="1" ht="11.55" customHeight="1">
      <c r="A3" s="1688"/>
      <c s="503"/>
      <c r="D3" s="480"/>
      <c r="J3" s="479">
        <v>11</v>
      </c>
    </row>
    <row r="4" spans="4:10" ht="27.3" customHeight="1">
      <c r="D4" s="2159" t="str">
        <f>ORG_INFO_NAME_FORM</f>
        <v>Форма 1. Информация об организации, осуществляющей водоотведение (общая информация)</v>
      </c>
      <c s="2160"/>
      <c s="2161"/>
      <c r="I4" s="717"/>
      <c s="457">
        <v>26</v>
      </c>
    </row>
    <row r="5" spans="4:10" ht="18" customHeight="1">
      <c r="D5" s="2178" t="str">
        <f>IF(org=0,"Не определено",org)</f>
        <v>ГУП КК "Кубаньводкомплекс"</v>
      </c>
      <c s="2178"/>
      <c s="2178"/>
      <c r="I5" s="717"/>
      <c s="457">
        <v>17</v>
      </c>
    </row>
    <row r="6" spans="1:10" s="479" customFormat="1" ht="11.55" customHeight="1">
      <c r="A6" s="1688"/>
      <c s="503"/>
      <c r="D6" s="716"/>
      <c s="716"/>
      <c s="754"/>
      <c s="716"/>
      <c r="J6" s="479">
        <v>11</v>
      </c>
    </row>
    <row r="7" spans="1:10" ht="11.25" customHeight="1" hidden="1">
      <c r="A7" s="459"/>
      <c s="504"/>
      <c s="459"/>
      <c s="465"/>
      <c s="2209"/>
      <c s="2209"/>
      <c r="J7" s="457">
        <v>0</v>
      </c>
    </row>
    <row r="8" spans="1:10" ht="11.55" customHeight="1">
      <c r="A8" s="459"/>
      <c s="504"/>
      <c s="459"/>
      <c s="2206" t="s">
        <v>300</v>
      </c>
      <c s="2207"/>
      <c s="2207"/>
      <c s="2210" t="s">
        <v>301</v>
      </c>
      <c r="J8" s="457">
        <v>11</v>
      </c>
    </row>
    <row r="9" spans="1:10" ht="11.55" customHeight="1">
      <c r="A9" s="459"/>
      <c s="504"/>
      <c s="459"/>
      <c s="474" t="s">
        <v>87</v>
      </c>
      <c s="448" t="s">
        <v>302</v>
      </c>
      <c s="448" t="s">
        <v>303</v>
      </c>
      <c s="2211"/>
      <c r="J9" s="457">
        <v>11</v>
      </c>
    </row>
    <row r="10" spans="1:10" ht="12" customHeight="1" hidden="1">
      <c r="A10" s="459"/>
      <c s="504"/>
      <c s="459"/>
      <c s="466"/>
      <c s="466"/>
      <c s="466"/>
      <c s="466"/>
      <c r="J10" s="457">
        <v>0</v>
      </c>
    </row>
    <row r="11" spans="1:10" ht="22.5" customHeight="1" hidden="1">
      <c r="A11" s="459"/>
      <c s="504"/>
      <c s="459"/>
      <c s="1011" t="s">
        <v>109</v>
      </c>
      <c s="1014" t="s">
        <v>304</v>
      </c>
      <c s="1013" t="str">
        <f>IF(region_name="","",region_name)</f>
        <v>Краснодарский край</v>
      </c>
      <c s="1014" t="s">
        <v>305</v>
      </c>
      <c s="477"/>
      <c r="J11" s="457">
        <v>0</v>
      </c>
    </row>
    <row r="12" spans="1:10" ht="22.5" customHeight="1" hidden="1">
      <c r="A12" s="459"/>
      <c s="504"/>
      <c s="459"/>
      <c s="447" t="s">
        <v>109</v>
      </c>
      <c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5" t="s">
        <v>306</v>
      </c>
      <c s="476"/>
      <c s="477"/>
      <c r="J12" s="457">
        <v>0</v>
      </c>
    </row>
    <row r="13" spans="1:10" ht="23.25" customHeight="1">
      <c r="A13" s="459"/>
      <c s="504"/>
      <c s="459"/>
      <c s="447" t="s">
        <v>109</v>
      </c>
      <c s="444" t="str">
        <f>"Наименование юридического лица"&amp;IF(TEMPLATE_SPHERE="TKO"," (индивидуального предпринимателя)","")</f>
        <v>Наименование юридического лица</v>
      </c>
      <c s="443"/>
      <c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7"/>
      <c r="J13" s="457">
        <v>22</v>
      </c>
    </row>
    <row r="14" spans="1:10" ht="22.5" customHeight="1" hidden="1">
      <c r="A14" s="459"/>
      <c s="504"/>
      <c s="459"/>
      <c s="1011" t="s">
        <v>307</v>
      </c>
      <c s="1012" t="s">
        <v>308</v>
      </c>
      <c s="1013" t="str">
        <f>IF(inn="","",inn)</f>
        <v>2310010637</v>
      </c>
      <c s="1014" t="s">
        <v>309</v>
      </c>
      <c s="477"/>
      <c r="J14" s="457">
        <v>0</v>
      </c>
    </row>
    <row r="15" spans="1:10" ht="22.5" customHeight="1" hidden="1">
      <c r="A15" s="459"/>
      <c s="504"/>
      <c s="459"/>
      <c s="1011" t="s">
        <v>310</v>
      </c>
      <c s="1012" t="s">
        <v>311</v>
      </c>
      <c s="1013" t="str">
        <f>IF(kpp="","",kpp)</f>
        <v>231101001</v>
      </c>
      <c s="1014" t="s">
        <v>312</v>
      </c>
      <c s="477"/>
      <c r="J15" s="457">
        <v>0</v>
      </c>
    </row>
    <row r="16" spans="1:10" ht="39" customHeight="1">
      <c r="A16" s="459"/>
      <c s="504"/>
      <c s="459"/>
      <c s="447" t="s">
        <v>110</v>
      </c>
      <c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3"/>
      <c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7"/>
      <c r="J16" s="457">
        <v>37</v>
      </c>
    </row>
    <row r="17" spans="1:10" ht="23.25" customHeight="1">
      <c r="A17" s="459"/>
      <c s="504"/>
      <c s="459"/>
      <c s="447" t="s">
        <v>89</v>
      </c>
      <c s="444" t="str">
        <f>"Дата присвоения ОГРН"&amp;IF(TEMPLATE_SPHERE="TKO",""," (ОГРНИП)")</f>
        <v>Дата присвоения ОГРН (ОГРНИП)</v>
      </c>
      <c s="1734" t="s">
        <v>22</v>
      </c>
      <c s="446" t="str">
        <f>"Дата присвоения ОГРН"&amp;IF(TEMPLATE_SPHERE="TKO",""," (ОГРНИП)")&amp;" указывается в виде «ДД.ММ.ГГГГ»."</f>
        <v>Дата присвоения ОГРН (ОГРНИП) указывается в виде «ДД.ММ.ГГГГ».</v>
      </c>
      <c s="477"/>
      <c r="J17" s="457">
        <v>22</v>
      </c>
    </row>
    <row r="18" spans="1:10" ht="71.25" customHeight="1">
      <c r="A18" s="459"/>
      <c s="504"/>
      <c s="459"/>
      <c s="447" t="s">
        <v>90</v>
      </c>
      <c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3"/>
      <c s="476"/>
      <c s="477"/>
      <c r="J18" s="457">
        <v>68</v>
      </c>
    </row>
    <row r="19" spans="1:10" ht="22.5" customHeight="1" hidden="1">
      <c r="A19" s="2204" t="s">
        <v>313</v>
      </c>
      <c s="504"/>
      <c s="2215"/>
      <c s="447" t="str">
        <f>A19</f>
        <v>5.1</v>
      </c>
      <c s="444" t="s">
        <v>314</v>
      </c>
      <c s="445" t="s">
        <v>306</v>
      </c>
      <c s="446" t="s">
        <v>315</v>
      </c>
      <c s="477"/>
      <c s="854"/>
      <c s="457">
        <v>0</v>
      </c>
    </row>
    <row r="20" spans="1:10" ht="24" customHeight="1" hidden="1">
      <c r="A20" s="2204"/>
      <c s="504"/>
      <c s="2215"/>
      <c s="442" t="str">
        <f>D19&amp;".1"</f>
        <v>5.1.1</v>
      </c>
      <c s="441" t="s">
        <v>316</v>
      </c>
      <c s="883" t="s">
        <v>22</v>
      </c>
      <c s="476"/>
      <c s="477"/>
      <c s="854"/>
      <c s="457">
        <v>0</v>
      </c>
    </row>
    <row r="21" spans="1:10" ht="22.5" customHeight="1" hidden="1">
      <c r="A21" s="2204"/>
      <c s="504"/>
      <c s="2215"/>
      <c s="442" t="str">
        <f>D19&amp;".2"</f>
        <v>5.1.2</v>
      </c>
      <c s="441" t="s">
        <v>317</v>
      </c>
      <c s="1735" t="s">
        <v>22</v>
      </c>
      <c s="446" t="s">
        <v>318</v>
      </c>
      <c s="477"/>
      <c s="854"/>
      <c s="457">
        <v>0</v>
      </c>
    </row>
    <row r="22" spans="1:10" ht="22.5" customHeight="1" hidden="1">
      <c r="A22" s="2204"/>
      <c s="504"/>
      <c s="2215"/>
      <c s="442" t="str">
        <f>D19&amp;".3"</f>
        <v>5.1.3</v>
      </c>
      <c s="441" t="s">
        <v>319</v>
      </c>
      <c s="883" t="s">
        <v>22</v>
      </c>
      <c s="476"/>
      <c s="477"/>
      <c s="854"/>
      <c s="457">
        <v>0</v>
      </c>
    </row>
    <row r="23" spans="1:10" ht="22.5" customHeight="1" hidden="1">
      <c r="A23" s="2204"/>
      <c s="504"/>
      <c s="2215"/>
      <c s="442" t="str">
        <f>D19&amp;".4"</f>
        <v>5.1.4</v>
      </c>
      <c s="441" t="s">
        <v>320</v>
      </c>
      <c s="883" t="s">
        <v>22</v>
      </c>
      <c s="446" t="s">
        <v>321</v>
      </c>
      <c s="477"/>
      <c s="854"/>
      <c s="457">
        <v>0</v>
      </c>
    </row>
    <row r="24" spans="1:10" ht="22.5" customHeight="1" hidden="1">
      <c r="A24" s="1980"/>
      <c s="504"/>
      <c s="494"/>
      <c s="469"/>
      <c s="1170" t="s">
        <v>322</v>
      </c>
      <c s="470"/>
      <c s="471"/>
      <c s="477"/>
      <c s="854"/>
      <c s="457">
        <v>0</v>
      </c>
    </row>
    <row r="25" spans="1:10" s="503" customFormat="1" ht="24.75" customHeight="1" hidden="1">
      <c r="A25" s="459"/>
      <c s="504"/>
      <c s="504"/>
      <c s="1008" t="s">
        <v>89</v>
      </c>
      <c s="1010" t="s">
        <v>323</v>
      </c>
      <c s="1015" t="s">
        <v>306</v>
      </c>
      <c s="1010"/>
      <c r="J25" s="503">
        <v>0</v>
      </c>
    </row>
    <row r="26" spans="1:10" s="503" customFormat="1" ht="11.25" customHeight="1" hidden="1">
      <c r="A26" s="459"/>
      <c s="504"/>
      <c s="504"/>
      <c s="1008" t="s">
        <v>324</v>
      </c>
      <c s="1009" t="s">
        <v>325</v>
      </c>
      <c s="1015" t="s">
        <v>306</v>
      </c>
      <c s="1010"/>
      <c r="J26" s="503">
        <v>0</v>
      </c>
    </row>
    <row r="27" spans="1:10" s="503" customFormat="1" ht="11.25" customHeight="1" hidden="1">
      <c r="A27" s="459"/>
      <c s="504"/>
      <c s="504"/>
      <c s="1008" t="s">
        <v>326</v>
      </c>
      <c s="1016" t="s">
        <v>327</v>
      </c>
      <c s="1017"/>
      <c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3">
        <v>0</v>
      </c>
    </row>
    <row r="28" spans="1:10" s="503" customFormat="1" ht="11.25" customHeight="1" hidden="1">
      <c r="A28" s="459"/>
      <c s="504"/>
      <c s="504"/>
      <c s="1008" t="s">
        <v>328</v>
      </c>
      <c s="1016" t="s">
        <v>329</v>
      </c>
      <c s="1017"/>
      <c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3">
        <v>0</v>
      </c>
    </row>
    <row r="29" spans="1:10" s="503" customFormat="1" ht="11.25" customHeight="1" hidden="1">
      <c r="A29" s="459"/>
      <c s="504"/>
      <c s="504"/>
      <c s="1008" t="s">
        <v>330</v>
      </c>
      <c s="1016" t="s">
        <v>331</v>
      </c>
      <c s="1017"/>
      <c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3">
        <v>0</v>
      </c>
    </row>
    <row r="30" spans="1:10" s="503" customFormat="1" ht="11.25" customHeight="1" hidden="1">
      <c r="A30" s="459"/>
      <c s="504"/>
      <c s="504"/>
      <c s="1008" t="s">
        <v>332</v>
      </c>
      <c s="1009" t="s">
        <v>333</v>
      </c>
      <c s="1017"/>
      <c s="1010"/>
      <c r="J30" s="503">
        <v>0</v>
      </c>
    </row>
    <row r="31" spans="1:10" s="503" customFormat="1" ht="11.25" customHeight="1" hidden="1">
      <c r="A31" s="459"/>
      <c s="504"/>
      <c s="504"/>
      <c s="1008" t="s">
        <v>334</v>
      </c>
      <c s="1009" t="s">
        <v>335</v>
      </c>
      <c s="1017"/>
      <c s="1010"/>
      <c r="J31" s="503">
        <v>0</v>
      </c>
    </row>
    <row r="32" spans="1:10" s="503" customFormat="1" ht="11.25" customHeight="1" hidden="1">
      <c r="A32" s="459"/>
      <c s="504"/>
      <c s="504"/>
      <c s="1008" t="s">
        <v>336</v>
      </c>
      <c s="1009" t="s">
        <v>337</v>
      </c>
      <c s="1018"/>
      <c s="1010"/>
      <c r="J32" s="503">
        <v>0</v>
      </c>
    </row>
    <row r="33" spans="1:10" ht="24" customHeight="1">
      <c r="A33" s="459" t="str">
        <f>IF(TEMPLATE_SPHERE="HEAT","6","5")</f>
        <v>5</v>
      </c>
      <c s="504"/>
      <c s="459"/>
      <c s="442" t="str">
        <f>A33</f>
        <v>5</v>
      </c>
      <c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5" t="s">
        <v>306</v>
      </c>
      <c s="476"/>
      <c s="477"/>
      <c r="J33" s="457">
        <v>23</v>
      </c>
    </row>
    <row r="34" spans="1:10" ht="23.25" customHeight="1">
      <c r="A34" s="459"/>
      <c s="504"/>
      <c s="459"/>
      <c s="442" t="str">
        <f>D33&amp;".1"</f>
        <v>5.1</v>
      </c>
      <c s="444" t="str">
        <f>"фамилия"&amp;IF(TEMPLATE_SPHERE&lt;&gt;"HEAT"," руководителя","")</f>
        <v>фамилия руководителя</v>
      </c>
      <c s="443"/>
      <c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7"/>
      <c r="J34" s="457">
        <v>22</v>
      </c>
    </row>
    <row r="35" spans="1:10" ht="23.25" customHeight="1">
      <c r="A35" s="459"/>
      <c s="504"/>
      <c s="459"/>
      <c s="442" t="str">
        <f>D33&amp;".2"</f>
        <v>5.2</v>
      </c>
      <c s="444" t="str">
        <f>"имя"&amp;IF(TEMPLATE_SPHERE&lt;&gt;"HEAT"," руководителя","")</f>
        <v>имя руководителя</v>
      </c>
      <c s="443"/>
      <c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7"/>
      <c r="J35" s="457">
        <v>22</v>
      </c>
    </row>
    <row r="36" spans="1:10" ht="24" customHeight="1">
      <c r="A36" s="459"/>
      <c s="504"/>
      <c s="459"/>
      <c s="442" t="str">
        <f>D33&amp;".3"</f>
        <v>5.3</v>
      </c>
      <c s="444" t="str">
        <f>"отчество"&amp;IF(TEMPLATE_SPHERE&lt;&gt;"HEAT"," руководителя","")</f>
        <v>отчество руководителя</v>
      </c>
      <c s="700"/>
      <c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7"/>
      <c r="J36" s="457">
        <v>23</v>
      </c>
    </row>
    <row r="37" spans="1:10" ht="35.7" customHeight="1">
      <c r="A37" s="459"/>
      <c s="504"/>
      <c s="459"/>
      <c s="442">
        <f>D33+1</f>
        <v>6</v>
      </c>
      <c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3"/>
      <c s="446" t="s">
        <v>338</v>
      </c>
      <c s="477"/>
      <c r="J37" s="457">
        <v>34</v>
      </c>
    </row>
    <row r="38" spans="1:10" ht="35.7" customHeight="1">
      <c r="A38" s="459"/>
      <c s="504"/>
      <c s="459"/>
      <c s="442">
        <f>D37+1</f>
        <v>7</v>
      </c>
      <c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3"/>
      <c s="446" t="s">
        <v>338</v>
      </c>
      <c s="477"/>
      <c r="J38" s="457">
        <v>34</v>
      </c>
    </row>
    <row r="39" spans="1:10" ht="23.25" customHeight="1">
      <c r="A39" s="459"/>
      <c s="504"/>
      <c s="459"/>
      <c s="442">
        <f>D38+1</f>
        <v>8</v>
      </c>
      <c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5" t="s">
        <v>306</v>
      </c>
      <c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7"/>
      <c r="J39" s="457">
        <v>22</v>
      </c>
    </row>
    <row r="40" spans="1:10" ht="22.5" customHeight="1" hidden="1">
      <c r="A40" s="459"/>
      <c s="504"/>
      <c s="459"/>
      <c s="442" t="str">
        <f>D39&amp;".0"</f>
        <v>8.0</v>
      </c>
      <c s="1607"/>
      <c s="883"/>
      <c s="2213"/>
      <c s="477"/>
      <c r="J40" s="457">
        <v>0</v>
      </c>
    </row>
    <row r="41" spans="1:10" ht="23.25" customHeight="1">
      <c r="A41" s="459"/>
      <c s="459"/>
      <c s="1690"/>
      <c s="442" t="str">
        <f>D39&amp;".1"</f>
        <v>8.1</v>
      </c>
      <c s="862"/>
      <c s="863"/>
      <c s="2213"/>
      <c s="477"/>
      <c r="J41" s="457">
        <v>22</v>
      </c>
    </row>
    <row r="42" spans="1:10" ht="15.75" customHeight="1">
      <c r="A42" s="459"/>
      <c s="504"/>
      <c s="459"/>
      <c s="469"/>
      <c s="417" t="s">
        <v>339</v>
      </c>
      <c s="471"/>
      <c s="2214"/>
      <c s="478"/>
      <c r="J42" s="457">
        <v>15</v>
      </c>
    </row>
    <row r="43" spans="1:10" ht="27.3" customHeight="1">
      <c r="A43" s="459"/>
      <c s="504"/>
      <c s="459"/>
      <c s="442">
        <f>D39+1</f>
        <v>9</v>
      </c>
      <c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4"/>
      <c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7"/>
      <c r="J43" s="457">
        <v>26</v>
      </c>
    </row>
    <row r="44" spans="1:10" ht="23.25" customHeight="1">
      <c r="A44" s="459"/>
      <c s="504"/>
      <c s="459"/>
      <c s="442">
        <f>D43+1</f>
        <v>10</v>
      </c>
      <c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80"/>
      <c s="476" t="s">
        <v>340</v>
      </c>
      <c s="477"/>
      <c r="J44" s="457">
        <v>22</v>
      </c>
    </row>
    <row r="45" spans="1:10" ht="23.25" customHeight="1">
      <c r="A45" s="459"/>
      <c s="504"/>
      <c s="459"/>
      <c s="442">
        <f>D44+1</f>
        <v>11</v>
      </c>
      <c s="440" t="s">
        <v>341</v>
      </c>
      <c s="445" t="s">
        <v>306</v>
      </c>
      <c s="439" t="str">
        <f>IF(TEMPLATE_SPHERE="TKO","Указывается режим работы организации.","")</f>
        <v/>
      </c>
      <c s="477"/>
      <c r="J45" s="457">
        <v>22</v>
      </c>
    </row>
    <row r="46" spans="1:10" ht="24" customHeight="1">
      <c r="A46" s="459"/>
      <c s="504"/>
      <c s="459"/>
      <c s="442" t="str">
        <f>D45&amp;".1"</f>
        <v>11.1</v>
      </c>
      <c s="444" t="str">
        <f>"режим работы регулируемой организации"&amp;IF(TEMPLATE_SPHERE="HEAT",", ЕТО, ТО","")</f>
        <v>режим работы регулируемой организации</v>
      </c>
      <c s="1686"/>
      <c s="439" t="s">
        <v>342</v>
      </c>
      <c s="477"/>
      <c r="J46" s="457">
        <v>23</v>
      </c>
    </row>
    <row r="47" spans="1:10" ht="24" customHeight="1">
      <c r="A47" s="2204"/>
      <c s="504"/>
      <c s="494"/>
      <c s="442" t="str">
        <f>D45&amp;".2"</f>
        <v>11.2</v>
      </c>
      <c s="444" t="s">
        <v>343</v>
      </c>
      <c s="492"/>
      <c s="439" t="s">
        <v>344</v>
      </c>
      <c s="477"/>
      <c r="J47" s="457">
        <v>23</v>
      </c>
    </row>
    <row r="48" spans="1:10" ht="24" customHeight="1">
      <c r="A48" s="2204"/>
      <c s="504"/>
      <c s="494"/>
      <c s="442" t="str">
        <f>D45&amp;".3"</f>
        <v>11.3</v>
      </c>
      <c s="444" t="s">
        <v>345</v>
      </c>
      <c s="492"/>
      <c s="439" t="s">
        <v>346</v>
      </c>
      <c s="477"/>
      <c r="J48" s="457">
        <v>23</v>
      </c>
    </row>
    <row r="49" spans="1:10" ht="24" customHeight="1">
      <c r="A49" s="2204"/>
      <c s="504"/>
      <c s="494"/>
      <c s="442" t="str">
        <f>IF(TEMPLATE_SPHERE="TKO",D45&amp;".0",D45&amp;".4")</f>
        <v>11.4</v>
      </c>
      <c s="438" t="s">
        <v>347</v>
      </c>
      <c s="1687"/>
      <c s="1764" t="s">
        <v>348</v>
      </c>
      <c s="477"/>
      <c r="J49" s="457">
        <v>23</v>
      </c>
    </row>
    <row r="50" spans="1:10" ht="24" customHeight="1">
      <c r="A50" s="459"/>
      <c s="504"/>
      <c s="459"/>
      <c s="469"/>
      <c s="417" t="s">
        <v>349</v>
      </c>
      <c s="470"/>
      <c s="1764" t="s">
        <v>350</v>
      </c>
      <c s="478"/>
      <c r="J50" s="457">
        <v>23</v>
      </c>
    </row>
    <row r="51" spans="1:10" ht="24" customHeight="1">
      <c r="A51" s="860"/>
      <c s="504"/>
      <c s="494"/>
      <c s="442">
        <f>D45+1</f>
        <v>12</v>
      </c>
      <c s="530" t="s">
        <v>351</v>
      </c>
      <c s="492"/>
      <c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7"/>
      <c r="J51" s="457">
        <v>23</v>
      </c>
    </row>
    <row r="52" spans="1:10" ht="11.55" customHeight="1">
      <c r="A52" s="459"/>
      <c s="504"/>
      <c s="459"/>
      <c r="J52" s="457">
        <v>11</v>
      </c>
    </row>
    <row r="53" spans="1:10" s="462" customFormat="1" ht="31.5" customHeight="1">
      <c r="A53" s="1689"/>
      <c s="505"/>
      <c s="2205"/>
      <c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8"/>
      <c s="2208"/>
      <c s="2208"/>
      <c s="456"/>
      <c s="456"/>
      <c s="462">
        <v>30</v>
      </c>
    </row>
    <row r="54" spans="1:10" s="462" customFormat="1" ht="42" customHeight="1">
      <c r="A54" s="459"/>
      <c s="504"/>
      <c s="2205"/>
      <c s="2208"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2208"/>
      <c s="2208"/>
      <c s="2208"/>
      <c r="J54" s="462">
        <v>40</v>
      </c>
    </row>
    <row r="55" spans="4:10" ht="11.55" customHeight="1">
      <c r="D55" s="460"/>
      <c s="461"/>
      <c s="461"/>
      <c s="461"/>
      <c r="J55" s="457">
        <v>11</v>
      </c>
    </row>
    <row r="56" spans="4:10" ht="28.5" customHeight="1">
      <c r="D56" s="463"/>
      <c s="460"/>
      <c s="472"/>
      <c s="472"/>
      <c r="J56" s="457">
        <v>27</v>
      </c>
    </row>
    <row r="57" spans="4:10" ht="11.55" customHeight="1">
      <c r="D57" s="460"/>
      <c s="460"/>
      <c s="461"/>
      <c s="461"/>
      <c r="J57" s="457">
        <v>11</v>
      </c>
    </row>
    <row r="58" spans="4:10" ht="40.95" customHeight="1">
      <c r="D58" s="464"/>
      <c s="473"/>
      <c s="473"/>
      <c s="473"/>
      <c r="J58" s="457">
        <v>39</v>
      </c>
    </row>
    <row r="59" spans="4:10" ht="28.5" customHeight="1">
      <c r="D59" s="464"/>
      <c s="473"/>
      <c s="473"/>
      <c s="473"/>
      <c r="J59" s="457">
        <v>27</v>
      </c>
    </row>
    <row r="60" spans="1:10" ht="11.25" customHeight="1" hidden="1">
      <c r="A60" s="1688" t="s">
        <v>81</v>
      </c>
      <c s="503">
        <v>0</v>
      </c>
      <c s="457">
        <v>3</v>
      </c>
      <c s="458">
        <v>6</v>
      </c>
      <c s="457">
        <v>52</v>
      </c>
      <c s="457">
        <v>48</v>
      </c>
      <c s="457">
        <v>121</v>
      </c>
      <c s="457">
        <v>8</v>
      </c>
      <c s="457">
        <v>64</v>
      </c>
      <c s="457">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C86C356-662F-130F-27A1-0.C3C0AF4F}"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2" width="9.14285714285714" style="1637" hidden="1" customWidth="1"/>
    <col min="3" max="3" width="3" style="1844" customWidth="1"/>
    <col min="4" max="4" width="5" style="1637" customWidth="1"/>
    <col min="5" max="5" width="48" style="1637" customWidth="1"/>
    <col min="6" max="6" width="38" style="1637" customWidth="1"/>
    <col min="7" max="7" width="1.71428571428571" style="1637" hidden="1" customWidth="1"/>
    <col min="8" max="11" width="19.8571428571429" style="1637" hidden="1" customWidth="1"/>
    <col min="12" max="12" width="9.71428571428571" style="1637" hidden="1" customWidth="1"/>
    <col min="13" max="18" width="19.8571428571429" style="1637" hidden="1" customWidth="1"/>
    <col min="19" max="19" width="1.71428571428571" style="1637" hidden="1" customWidth="1"/>
    <col min="20" max="22" width="19.8571428571429" style="1637" customWidth="1"/>
    <col min="23" max="23" width="1.71428571428571" style="1637" hidden="1" customWidth="1"/>
    <col min="24" max="26" width="19.8571428571429" style="1637" hidden="1" customWidth="1"/>
    <col min="27" max="27" width="1.71428571428571" style="1637" hidden="1" customWidth="1"/>
    <col min="28" max="29" width="19.8571428571429" style="1637" hidden="1" customWidth="1"/>
    <col min="30" max="30" width="1.71428571428571" style="1637" hidden="1" customWidth="1"/>
    <col min="31" max="31" width="103.714285714286" style="1637" hidden="1" customWidth="1"/>
    <col min="32" max="32" width="103.714285714286" style="1637" customWidth="1"/>
    <col min="33" max="34" width="103.714285714286" style="1637" hidden="1" customWidth="1"/>
    <col min="35" max="35" width="3" style="1821" customWidth="1"/>
    <col min="36" max="38" width="10" style="1644" customWidth="1"/>
    <col min="39" max="39" width="13.7142857142857" style="1644" hidden="1" customWidth="1"/>
    <col min="40" max="40" width="15" style="1644" customWidth="1"/>
    <col min="41" max="41" width="16" style="1644" customWidth="1"/>
    <col min="42" max="45" width="10" style="1644" customWidth="1"/>
    <col min="46" max="46" width="10.5714285714286" style="1637" hidden="1"/>
  </cols>
  <sheetData>
    <row r="1" spans="5:46" ht="22.5" customHeight="1" hidden="1">
      <c r="E1" s="414"/>
      <c s="414"/>
      <c s="414"/>
      <c s="2219" t="s">
        <v>352</v>
      </c>
      <c s="2219"/>
      <c s="2219"/>
      <c s="2219"/>
      <c s="2219"/>
      <c s="2219"/>
      <c s="2219"/>
      <c s="2219"/>
      <c s="2219"/>
      <c s="2219"/>
      <c s="2219"/>
      <c r="T1" s="2219" t="s">
        <v>353</v>
      </c>
      <c s="2219"/>
      <c s="2219"/>
      <c r="X1" s="2219" t="s">
        <v>354</v>
      </c>
      <c s="2219"/>
      <c s="2219"/>
      <c r="AB1" s="2219" t="s">
        <v>355</v>
      </c>
      <c s="2219"/>
      <c r="AT1" s="449" t="s">
        <v>14</v>
      </c>
    </row>
    <row r="2" spans="46:46" ht="14.25" customHeight="1" hidden="1">
      <c r="AT2" s="449">
        <v>0</v>
      </c>
    </row>
    <row r="3" spans="3:46" s="1615" customFormat="1" ht="5.25" customHeight="1">
      <c r="C3" s="703"/>
      <c s="704"/>
      <c s="704"/>
      <c s="704"/>
      <c s="704"/>
      <c s="704" t="s">
        <v>356</v>
      </c>
      <c s="704"/>
      <c s="704"/>
      <c s="704"/>
      <c s="704"/>
      <c s="704"/>
      <c s="704"/>
      <c s="704"/>
      <c s="704"/>
      <c s="704"/>
      <c s="704"/>
      <c s="704"/>
      <c s="704"/>
      <c s="704"/>
      <c s="704"/>
      <c s="704"/>
      <c s="704"/>
      <c s="704"/>
      <c s="704"/>
      <c s="704"/>
      <c s="704"/>
      <c s="704"/>
      <c s="704"/>
      <c s="704"/>
      <c s="704"/>
      <c s="704"/>
      <c s="704"/>
      <c r="AJ3" s="513"/>
      <c s="513"/>
      <c s="513"/>
      <c s="513"/>
      <c s="513"/>
      <c s="513"/>
      <c s="513"/>
      <c s="513"/>
      <c s="513"/>
      <c s="513"/>
      <c s="702">
        <v>5</v>
      </c>
    </row>
    <row r="4" spans="3:46" ht="39.75" customHeight="1">
      <c r="C4" s="452"/>
      <c s="2159" t="str">
        <f>ORG_VD_NAME_FORM</f>
        <v>Форма 1. Информация об организации, осуществляющей водоотведение (общая информация)</v>
      </c>
      <c s="2160"/>
      <c s="2160"/>
      <c s="2160"/>
      <c s="2160"/>
      <c s="2160"/>
      <c s="2160"/>
      <c s="2160"/>
      <c s="2160"/>
      <c s="2160"/>
      <c s="2160"/>
      <c s="2160"/>
      <c s="2160"/>
      <c s="2160"/>
      <c s="2161"/>
      <c s="855"/>
      <c s="701"/>
      <c s="701"/>
      <c s="701"/>
      <c s="701"/>
      <c s="701"/>
      <c s="701"/>
      <c s="701"/>
      <c s="701"/>
      <c s="701"/>
      <c s="701"/>
      <c s="701"/>
      <c s="493"/>
      <c s="493"/>
      <c s="493"/>
      <c s="493"/>
      <c s="490"/>
      <c r="AT4" s="449">
        <v>38</v>
      </c>
    </row>
    <row r="5" spans="1:46" s="1637" customFormat="1" ht="18" customHeight="1">
      <c r="A5" s="761"/>
      <c r="C5" s="824"/>
      <c s="2216" t="str">
        <f>IF(org=0,"Не определено",org)</f>
        <v>ГУП КК "Кубаньводкомплекс"</v>
      </c>
      <c s="2217"/>
      <c s="2217"/>
      <c s="2217"/>
      <c s="2217"/>
      <c s="2217"/>
      <c s="2217"/>
      <c s="2217"/>
      <c s="2217"/>
      <c s="2217"/>
      <c s="2217"/>
      <c s="2217"/>
      <c s="2217"/>
      <c s="2217"/>
      <c s="2218"/>
      <c s="855"/>
      <c s="701"/>
      <c s="701"/>
      <c s="701"/>
      <c s="701"/>
      <c s="701"/>
      <c s="701"/>
      <c s="701"/>
      <c s="701"/>
      <c s="701"/>
      <c s="701"/>
      <c s="701"/>
      <c s="493"/>
      <c s="493"/>
      <c s="493"/>
      <c s="493"/>
      <c s="490"/>
      <c s="513"/>
      <c s="513"/>
      <c s="513"/>
      <c s="513"/>
      <c s="513"/>
      <c s="513"/>
      <c s="513"/>
      <c s="513"/>
      <c s="513"/>
      <c s="513"/>
      <c s="760">
        <v>17</v>
      </c>
    </row>
    <row r="6" spans="1:46" s="1614" customFormat="1" ht="11.55" customHeight="1">
      <c r="A6" s="481"/>
      <c r="C6" s="488"/>
      <c s="487"/>
      <c s="487"/>
      <c s="487"/>
      <c s="487"/>
      <c s="487"/>
      <c s="487"/>
      <c s="487"/>
      <c s="487"/>
      <c s="487"/>
      <c s="487"/>
      <c s="487"/>
      <c s="487"/>
      <c s="487"/>
      <c s="487"/>
      <c s="754"/>
      <c s="754"/>
      <c s="487"/>
      <c s="487"/>
      <c s="714"/>
      <c s="714"/>
      <c s="487"/>
      <c s="487"/>
      <c s="714"/>
      <c s="714"/>
      <c s="487"/>
      <c s="714"/>
      <c s="714"/>
      <c s="487"/>
      <c s="487"/>
      <c s="487"/>
      <c s="487"/>
      <c r="AJ6" s="491"/>
      <c s="491"/>
      <c s="491"/>
      <c s="491"/>
      <c s="491"/>
      <c s="491"/>
      <c s="491"/>
      <c s="491"/>
      <c s="491"/>
      <c s="491"/>
      <c s="482">
        <v>11</v>
      </c>
    </row>
    <row r="7" spans="3:46" ht="14.7" customHeight="1">
      <c r="C7" s="452"/>
      <c s="2220" t="s">
        <v>300</v>
      </c>
      <c s="2221"/>
      <c s="2221"/>
      <c s="2221"/>
      <c s="2221"/>
      <c s="2221"/>
      <c s="2221"/>
      <c s="2221"/>
      <c s="2221"/>
      <c s="2221"/>
      <c s="2221"/>
      <c s="2221"/>
      <c s="2221"/>
      <c s="2221"/>
      <c s="2221"/>
      <c s="2221"/>
      <c s="2221"/>
      <c s="2221"/>
      <c s="2221"/>
      <c s="2221"/>
      <c s="2221"/>
      <c s="2221"/>
      <c s="2221"/>
      <c s="2221"/>
      <c s="2221"/>
      <c s="2221"/>
      <c s="2222"/>
      <c s="2225" t="s">
        <v>301</v>
      </c>
      <c s="2225" t="s">
        <v>301</v>
      </c>
      <c s="2225" t="s">
        <v>301</v>
      </c>
      <c s="2225" t="s">
        <v>301</v>
      </c>
      <c r="AT7" s="449">
        <v>14</v>
      </c>
    </row>
    <row r="8" spans="3:46" ht="27.3" customHeight="1">
      <c r="C8" s="452"/>
      <c s="2129" t="s">
        <v>87</v>
      </c>
      <c s="2225" t="str">
        <f>"Наименование "&amp;IF(TEMPLATE_SPHERE&lt;&gt;"HEAT","централизованной ","")&amp;"системы "&amp;TEMPLATE_SPHERE_RUS</f>
        <v>Наименование централизованной системы водоотведения</v>
      </c>
      <c s="2225" t="str">
        <f>IF(TEMPLATE_SPHERE&lt;&gt;"HEAT","Регулируемый вид деятельности","Вид регулируемой деятельности")</f>
        <v>Регулируемый вид деятельности</v>
      </c>
      <c s="830"/>
      <c s="2226" t="s">
        <v>357</v>
      </c>
      <c s="2228" t="s">
        <v>358</v>
      </c>
      <c s="2225" t="s">
        <v>359</v>
      </c>
      <c s="2225"/>
      <c s="2225"/>
      <c s="2220"/>
      <c s="2225" t="s">
        <v>360</v>
      </c>
      <c s="2225"/>
      <c s="2225" t="s">
        <v>361</v>
      </c>
      <c s="2225"/>
      <c s="2232" t="s">
        <v>362</v>
      </c>
      <c s="826"/>
      <c s="2230" t="s">
        <v>363</v>
      </c>
      <c s="2230" t="s">
        <v>364</v>
      </c>
      <c s="2230" t="s">
        <v>365</v>
      </c>
      <c s="828"/>
      <c s="2230" t="s">
        <v>366</v>
      </c>
      <c s="2230" t="s">
        <v>367</v>
      </c>
      <c s="2230" t="s">
        <v>368</v>
      </c>
      <c s="828"/>
      <c s="2230" t="s">
        <v>369</v>
      </c>
      <c s="2230" t="s">
        <v>362</v>
      </c>
      <c s="828"/>
      <c s="2225"/>
      <c s="2225"/>
      <c s="2225"/>
      <c s="2225"/>
      <c r="AT8" s="449">
        <v>26</v>
      </c>
    </row>
    <row r="9" spans="3:46" ht="46.2" customHeight="1">
      <c r="C9" s="452"/>
      <c s="2129"/>
      <c s="2225"/>
      <c s="2225"/>
      <c s="831"/>
      <c s="2227"/>
      <c s="2229"/>
      <c s="427" t="s">
        <v>370</v>
      </c>
      <c s="427" t="s">
        <v>371</v>
      </c>
      <c s="427" t="s">
        <v>372</v>
      </c>
      <c s="433" t="s">
        <v>373</v>
      </c>
      <c s="427" t="s">
        <v>374</v>
      </c>
      <c s="427" t="s">
        <v>373</v>
      </c>
      <c s="427" t="s">
        <v>375</v>
      </c>
      <c s="427" t="s">
        <v>373</v>
      </c>
      <c s="2233"/>
      <c s="827"/>
      <c s="2231"/>
      <c s="2231"/>
      <c s="2231"/>
      <c s="829"/>
      <c s="2231"/>
      <c s="2231"/>
      <c s="2231"/>
      <c s="829"/>
      <c s="2231"/>
      <c s="2231"/>
      <c s="829"/>
      <c s="2225"/>
      <c s="2225"/>
      <c s="2225"/>
      <c s="2225"/>
      <c r="AT9" s="449">
        <v>44</v>
      </c>
    </row>
    <row r="10" spans="3:46" ht="12" customHeight="1" hidden="1">
      <c r="C10" s="489"/>
      <c s="450"/>
      <c s="450"/>
      <c s="450"/>
      <c s="450"/>
      <c s="450"/>
      <c s="450"/>
      <c s="450"/>
      <c s="450"/>
      <c s="450"/>
      <c s="450"/>
      <c s="450"/>
      <c s="450"/>
      <c s="450"/>
      <c s="450"/>
      <c s="450"/>
      <c s="450"/>
      <c s="450"/>
      <c s="450"/>
      <c s="450"/>
      <c s="450"/>
      <c s="450"/>
      <c s="450"/>
      <c s="450"/>
      <c s="450"/>
      <c s="450"/>
      <c s="450"/>
      <c s="450"/>
      <c s="450"/>
      <c s="450"/>
      <c s="450"/>
      <c s="450"/>
      <c s="449"/>
      <c r="AP10" s="502"/>
      <c s="502"/>
      <c r="AT10" s="449">
        <v>0</v>
      </c>
    </row>
    <row r="11" spans="3:46" s="1643" customFormat="1" ht="11.25" customHeight="1" hidden="1">
      <c r="C11" s="500"/>
      <c s="501" t="s">
        <v>376</v>
      </c>
      <c s="501"/>
      <c s="501"/>
      <c s="501"/>
      <c s="499"/>
      <c s="499"/>
      <c s="499"/>
      <c s="499"/>
      <c s="499"/>
      <c s="499"/>
      <c s="499"/>
      <c s="499"/>
      <c s="499"/>
      <c s="499"/>
      <c s="499"/>
      <c s="499"/>
      <c s="499"/>
      <c s="499"/>
      <c s="499"/>
      <c s="499"/>
      <c s="499"/>
      <c s="499"/>
      <c s="499"/>
      <c s="499"/>
      <c s="499"/>
      <c s="499"/>
      <c s="499"/>
      <c s="437"/>
      <c s="437"/>
      <c s="437"/>
      <c s="437"/>
      <c r="AJ11" s="491"/>
      <c s="491"/>
      <c s="491"/>
      <c s="491"/>
      <c s="491"/>
      <c s="491"/>
      <c s="491"/>
      <c s="491"/>
      <c s="491"/>
      <c s="491"/>
      <c s="498">
        <v>0</v>
      </c>
    </row>
    <row r="12" spans="1:46" ht="14.7" customHeight="1">
      <c r="A12" s="449"/>
      <c r="C12" s="452"/>
      <c s="436" t="s">
        <v>109</v>
      </c>
      <c s="1779" t="s">
        <v>22</v>
      </c>
      <c s="857"/>
      <c s="858"/>
      <c s="1780"/>
      <c s="1780"/>
      <c s="435"/>
      <c s="1865"/>
      <c s="434"/>
      <c s="1865"/>
      <c s="435"/>
      <c s="1865"/>
      <c s="435"/>
      <c s="1865"/>
      <c s="435"/>
      <c s="856"/>
      <c s="1780"/>
      <c s="435"/>
      <c s="435"/>
      <c s="829"/>
      <c s="1780"/>
      <c s="435"/>
      <c s="435"/>
      <c s="829"/>
      <c s="1780"/>
      <c s="435"/>
      <c s="829"/>
      <c s="2223" t="s">
        <v>377</v>
      </c>
      <c s="2223" t="s">
        <v>378</v>
      </c>
      <c s="2223" t="s">
        <v>379</v>
      </c>
      <c s="2223" t="s">
        <v>380</v>
      </c>
      <c s="449"/>
      <c r="AM12" s="513"/>
      <c r="AP12" s="502" t="s">
        <v>381</v>
      </c>
      <c s="502" t="s">
        <v>381</v>
      </c>
      <c r="AT12" s="449">
        <v>14</v>
      </c>
    </row>
    <row r="13" spans="1:46" ht="18" customHeight="1">
      <c r="A13" s="449"/>
      <c r="C13" s="452"/>
      <c s="407"/>
      <c s="871" t="str">
        <f>IF(TITLE_DIFFERENTIATION_TYPE="нет","","Добавить систему")</f>
        <v/>
      </c>
      <c s="871" t="str">
        <f>IF(TITLE_DIFFERENTIATION_TYPE="нет","Добавить вид деятельности","")</f>
        <v>Добавить вид деятельности</v>
      </c>
      <c s="315"/>
      <c s="408"/>
      <c s="408"/>
      <c s="408"/>
      <c s="408"/>
      <c s="408"/>
      <c s="408"/>
      <c s="408"/>
      <c s="408"/>
      <c s="408"/>
      <c s="408"/>
      <c s="408"/>
      <c s="408"/>
      <c s="408"/>
      <c s="408"/>
      <c s="408"/>
      <c s="408"/>
      <c s="408"/>
      <c s="408"/>
      <c s="408"/>
      <c s="408"/>
      <c s="408"/>
      <c s="408"/>
      <c s="859"/>
      <c s="2224"/>
      <c s="2224"/>
      <c s="2224"/>
      <c s="2224"/>
      <c s="449"/>
      <c r="AT13" s="449">
        <v>17</v>
      </c>
    </row>
    <row r="14" spans="35:46" ht="14.7" customHeight="1">
      <c r="AI14" s="449"/>
      <c r="AT14" s="449">
        <v>14</v>
      </c>
    </row>
    <row r="15" spans="5:12 46:46" ht="14.7" customHeight="1">
      <c r="E15" s="760"/>
      <c r="L15" s="760"/>
      <c r="AT15" s="449">
        <v>14</v>
      </c>
    </row>
    <row r="16" spans="12:46" ht="14.7" customHeight="1">
      <c r="L16" s="760"/>
      <c r="AT16" s="449">
        <v>14</v>
      </c>
    </row>
    <row r="17" spans="12:46" ht="14.7" customHeight="1">
      <c r="L17" s="760"/>
      <c r="AT17" s="449">
        <v>14</v>
      </c>
    </row>
    <row r="18" spans="1:46" ht="22.5" customHeight="1" hidden="1">
      <c r="A18" s="451" t="s">
        <v>81</v>
      </c>
      <c s="449">
        <v>0</v>
      </c>
      <c s="453">
        <v>3</v>
      </c>
      <c s="449">
        <v>5</v>
      </c>
      <c s="449">
        <v>48</v>
      </c>
      <c s="449">
        <v>38</v>
      </c>
      <c s="760">
        <v>0</v>
      </c>
      <c s="449">
        <v>0</v>
      </c>
      <c s="449">
        <v>0</v>
      </c>
      <c s="449">
        <v>0</v>
      </c>
      <c s="449">
        <v>0</v>
      </c>
      <c s="449">
        <v>0</v>
      </c>
      <c s="449">
        <v>0</v>
      </c>
      <c s="449">
        <v>0</v>
      </c>
      <c s="449">
        <v>0</v>
      </c>
      <c s="449">
        <v>0</v>
      </c>
      <c s="449">
        <v>0</v>
      </c>
      <c s="449">
        <v>0</v>
      </c>
      <c s="760">
        <v>0</v>
      </c>
      <c s="507">
        <v>0</v>
      </c>
      <c s="507">
        <v>0</v>
      </c>
      <c s="507">
        <v>0</v>
      </c>
      <c s="760">
        <v>0</v>
      </c>
      <c s="507">
        <v>0</v>
      </c>
      <c s="507">
        <v>0</v>
      </c>
      <c s="507">
        <v>0</v>
      </c>
      <c s="760">
        <v>0</v>
      </c>
      <c s="507">
        <v>0</v>
      </c>
      <c s="507">
        <v>0</v>
      </c>
      <c s="760">
        <v>0</v>
      </c>
      <c s="449">
        <v>0</v>
      </c>
      <c s="507">
        <v>0</v>
      </c>
      <c s="507">
        <v>0</v>
      </c>
      <c s="507">
        <v>0</v>
      </c>
      <c s="454">
        <v>3</v>
      </c>
      <c s="491">
        <v>10</v>
      </c>
      <c s="491">
        <v>10</v>
      </c>
      <c s="491">
        <v>10</v>
      </c>
      <c s="491">
        <v>0</v>
      </c>
      <c s="491">
        <v>15</v>
      </c>
      <c s="491">
        <v>16</v>
      </c>
      <c s="491">
        <v>10</v>
      </c>
      <c s="491">
        <v>10</v>
      </c>
      <c s="491">
        <v>10</v>
      </c>
      <c s="491">
        <v>10</v>
      </c>
      <c s="449">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66A3FF-3AB7-09C7-BFF4-0.77539BCC}"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2" width="9.14285714285714" style="1637" hidden="1" customWidth="1"/>
    <col min="3" max="3" width="3" style="1844" customWidth="1"/>
    <col min="4" max="4" width="5" style="1637" customWidth="1"/>
    <col min="5" max="5" width="38" style="1637" customWidth="1"/>
    <col min="6" max="7" width="3" style="1637" customWidth="1"/>
    <col min="8" max="8" width="38" style="1637" customWidth="1"/>
    <col min="9" max="9" width="35" style="1637" customWidth="1"/>
    <col min="10" max="10" width="103" style="1637" customWidth="1"/>
    <col min="11" max="11" width="3" style="1821" customWidth="1"/>
    <col min="12" max="14" width="10" style="1644" customWidth="1"/>
    <col min="15" max="15" width="13" style="1644" customWidth="1"/>
    <col min="16" max="16" width="15" style="1644" customWidth="1"/>
    <col min="17" max="17" width="16" style="1644" customWidth="1"/>
    <col min="18" max="21" width="10" style="1644" customWidth="1"/>
    <col min="22" max="22" width="10.5714285714286" style="1637" hidden="1"/>
  </cols>
  <sheetData>
    <row r="1" spans="5:22" ht="22.5" customHeight="1" hidden="1">
      <c r="E1" s="414"/>
      <c s="414"/>
      <c s="414"/>
      <c s="2219" t="s">
        <v>352</v>
      </c>
      <c s="2219"/>
      <c r="V1" s="1609" t="s">
        <v>14</v>
      </c>
    </row>
    <row r="2" spans="3:22" s="1637" customFormat="1" ht="14.25" customHeight="1" hidden="1">
      <c r="C2" s="1621"/>
      <c s="2235" t="s">
        <v>109</v>
      </c>
      <c s="2237"/>
      <c s="1627"/>
      <c s="1622" t="s">
        <v>109</v>
      </c>
      <c s="1625"/>
      <c s="1623"/>
      <c r="L2" s="1624"/>
      <c s="1624"/>
      <c s="1624"/>
      <c s="1624" t="s">
        <v>382</v>
      </c>
      <c s="1624"/>
      <c s="1624"/>
      <c s="1626" t="s">
        <v>381</v>
      </c>
      <c s="1626" t="s">
        <v>381</v>
      </c>
      <c s="1624"/>
      <c s="1624"/>
      <c s="1620">
        <v>0</v>
      </c>
    </row>
    <row r="3" spans="3:22" s="1637" customFormat="1" ht="14.25" customHeight="1" hidden="1">
      <c r="C3" s="1621"/>
      <c s="2236"/>
      <c s="2238"/>
      <c s="407"/>
      <c s="871"/>
      <c s="871" t="s">
        <v>383</v>
      </c>
      <c s="315"/>
      <c r="L3" s="1624"/>
      <c s="1624"/>
      <c s="1624"/>
      <c s="1624"/>
      <c s="1624"/>
      <c s="1624"/>
      <c s="1626"/>
      <c s="1626"/>
      <c s="1624"/>
      <c s="1624"/>
      <c s="1620">
        <v>0</v>
      </c>
    </row>
    <row r="4" spans="22:22" ht="14.25" customHeight="1" hidden="1">
      <c r="V4" s="1609">
        <v>0</v>
      </c>
    </row>
    <row r="5" spans="3:22" s="1615" customFormat="1" ht="5.25" customHeight="1">
      <c r="C5" s="703"/>
      <c s="704"/>
      <c s="704"/>
      <c s="704"/>
      <c s="704"/>
      <c s="704" t="s">
        <v>356</v>
      </c>
      <c s="704"/>
      <c s="704"/>
      <c r="L5" s="1616"/>
      <c s="1616"/>
      <c s="1616"/>
      <c s="1616"/>
      <c s="1616"/>
      <c s="1616"/>
      <c s="1616"/>
      <c s="1616"/>
      <c s="1616"/>
      <c s="1616"/>
      <c s="1615">
        <v>5</v>
      </c>
    </row>
    <row r="6" spans="3:22" ht="29.25" customHeight="1">
      <c r="C6" s="1518"/>
      <c s="2239" t="s">
        <v>384</v>
      </c>
      <c s="2239"/>
      <c s="2239"/>
      <c s="2239"/>
      <c s="2239"/>
      <c s="2239"/>
      <c s="493"/>
      <c s="1617"/>
      <c r="V6" s="1609">
        <v>28</v>
      </c>
    </row>
    <row r="7" spans="3:22" ht="18" customHeight="1">
      <c r="C7" s="1518"/>
      <c s="2178" t="str">
        <f>IF(org=0,"Не определено",org)</f>
        <v>ГУП КК "Кубаньводкомплекс"</v>
      </c>
      <c s="2178"/>
      <c s="2178"/>
      <c s="2178"/>
      <c s="2178"/>
      <c s="2178"/>
      <c s="493"/>
      <c s="1617"/>
      <c r="V7" s="1609">
        <v>17</v>
      </c>
    </row>
    <row r="8" spans="1:22" s="1614" customFormat="1" ht="5.25" customHeight="1">
      <c r="A8" s="1613"/>
      <c r="C8" s="488"/>
      <c s="487"/>
      <c s="487"/>
      <c s="487"/>
      <c s="487"/>
      <c s="487"/>
      <c s="487"/>
      <c s="487"/>
      <c r="L8" s="1616"/>
      <c s="1616"/>
      <c s="1616"/>
      <c s="1616"/>
      <c s="1616"/>
      <c s="1616"/>
      <c s="1616"/>
      <c s="1616"/>
      <c s="1616"/>
      <c s="1616"/>
      <c s="1614">
        <v>5</v>
      </c>
    </row>
    <row r="9" spans="1:22" s="1614" customFormat="1" ht="5.25" customHeight="1">
      <c r="A9" s="1613"/>
      <c r="C9" s="488"/>
      <c s="487"/>
      <c s="487"/>
      <c s="487"/>
      <c s="487"/>
      <c s="487"/>
      <c s="487"/>
      <c s="487"/>
      <c r="L9" s="1624"/>
      <c s="1624"/>
      <c s="1624"/>
      <c s="1624"/>
      <c s="1624"/>
      <c s="1624"/>
      <c s="1624"/>
      <c s="1624"/>
      <c s="1624"/>
      <c s="1624"/>
      <c s="1614">
        <v>5</v>
      </c>
    </row>
    <row r="10" spans="3:22" ht="14.7" customHeight="1">
      <c r="C10" s="1518"/>
      <c s="2220" t="s">
        <v>300</v>
      </c>
      <c s="2221"/>
      <c s="2221"/>
      <c s="2221"/>
      <c s="2221"/>
      <c s="2221"/>
      <c s="2225" t="s">
        <v>301</v>
      </c>
      <c r="V10" s="1609">
        <v>14</v>
      </c>
    </row>
    <row r="11" spans="3:22" ht="27.3" customHeight="1">
      <c r="C11" s="1518"/>
      <c s="2129" t="s">
        <v>87</v>
      </c>
      <c s="2225" t="s">
        <v>105</v>
      </c>
      <c s="2194" t="s">
        <v>87</v>
      </c>
      <c s="2195"/>
      <c s="2177" t="s">
        <v>385</v>
      </c>
      <c s="2177" t="s">
        <v>386</v>
      </c>
      <c s="2225"/>
      <c r="V11" s="1609">
        <v>26</v>
      </c>
    </row>
    <row r="12" spans="3:22" ht="14.7" customHeight="1">
      <c r="C12" s="1518"/>
      <c s="2129"/>
      <c s="2225"/>
      <c s="2202"/>
      <c s="2203"/>
      <c s="2234"/>
      <c s="2234"/>
      <c s="2225"/>
      <c r="V12" s="1609">
        <v>14</v>
      </c>
    </row>
    <row r="13" spans="3:22" s="1643" customFormat="1" ht="11.25" customHeight="1" hidden="1">
      <c r="C13" s="500"/>
      <c s="501" t="s">
        <v>376</v>
      </c>
      <c s="501"/>
      <c s="501"/>
      <c s="501"/>
      <c s="499"/>
      <c s="499"/>
      <c s="437"/>
      <c r="L13" s="1616"/>
      <c s="1616"/>
      <c s="1616"/>
      <c s="1616"/>
      <c s="1616"/>
      <c s="1616"/>
      <c s="1616"/>
      <c s="1616"/>
      <c s="1616"/>
      <c s="1616"/>
      <c s="498">
        <v>0</v>
      </c>
    </row>
    <row r="14" spans="1:22" ht="14.7" customHeight="1">
      <c r="A14" s="1609"/>
      <c r="C14" s="1518"/>
      <c s="2235" t="s">
        <v>109</v>
      </c>
      <c s="2237"/>
      <c s="1619"/>
      <c s="1618" t="s">
        <v>109</v>
      </c>
      <c s="1625"/>
      <c s="1623"/>
      <c s="2171" t="s">
        <v>387</v>
      </c>
      <c s="1609"/>
      <c r="R14" s="502" t="s">
        <v>381</v>
      </c>
      <c s="502" t="s">
        <v>381</v>
      </c>
      <c r="V14" s="1609">
        <v>14</v>
      </c>
    </row>
    <row r="15" spans="1:22" ht="14.7" customHeight="1">
      <c r="A15" s="1609"/>
      <c r="C15" s="1518"/>
      <c s="2236"/>
      <c s="2238"/>
      <c s="407"/>
      <c s="871"/>
      <c s="871" t="s">
        <v>383</v>
      </c>
      <c s="315"/>
      <c s="2172"/>
      <c s="1609"/>
      <c r="R15" s="502"/>
      <c s="502"/>
      <c r="V15" s="1609">
        <v>14</v>
      </c>
    </row>
    <row r="16" spans="1:22" ht="14.7" customHeight="1">
      <c r="A16" s="1609"/>
      <c r="C16" s="1518"/>
      <c s="407"/>
      <c s="871" t="s">
        <v>123</v>
      </c>
      <c s="315"/>
      <c s="315"/>
      <c s="408"/>
      <c s="408"/>
      <c s="2173"/>
      <c s="1609"/>
      <c r="V16" s="1609">
        <v>14</v>
      </c>
    </row>
    <row r="17" spans="11:22" ht="14.7" customHeight="1">
      <c r="K17" s="1609"/>
      <c r="V17" s="1609">
        <v>14</v>
      </c>
    </row>
    <row r="18" spans="1:22" ht="22.5" customHeight="1" hidden="1">
      <c r="A18" s="1610" t="s">
        <v>81</v>
      </c>
      <c s="1609">
        <v>0</v>
      </c>
      <c s="453">
        <v>3</v>
      </c>
      <c s="1609">
        <v>5</v>
      </c>
      <c s="1609">
        <v>38</v>
      </c>
      <c s="1609">
        <v>3</v>
      </c>
      <c s="1609">
        <v>3</v>
      </c>
      <c s="1609">
        <v>38</v>
      </c>
      <c s="1609">
        <v>35</v>
      </c>
      <c s="1609">
        <v>103</v>
      </c>
      <c s="1611">
        <v>3</v>
      </c>
      <c s="1616">
        <v>10</v>
      </c>
      <c s="1616">
        <v>10</v>
      </c>
      <c s="1616">
        <v>10</v>
      </c>
      <c s="1616">
        <v>13</v>
      </c>
      <c s="1616">
        <v>15</v>
      </c>
      <c s="1616">
        <v>16</v>
      </c>
      <c s="1616">
        <v>10</v>
      </c>
      <c s="1616">
        <v>10</v>
      </c>
      <c s="1616">
        <v>10</v>
      </c>
      <c s="1616">
        <v>10</v>
      </c>
      <c s="1609">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2 I14">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2 H14">
      <formula1>900</formula1>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05F3285-6E06-0219-B525-0.AE9589A9}"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3" width="9.14285714285714" style="1637" hidden="1" customWidth="1"/>
    <col min="4" max="4" width="3" style="1844" customWidth="1"/>
    <col min="5" max="5" width="6" style="1637" customWidth="1"/>
    <col min="6" max="6" width="1.71428571428571" style="1637" hidden="1" customWidth="1"/>
    <col min="7" max="8" width="30" style="1637" customWidth="1"/>
    <col min="9" max="9" width="8" style="1637" customWidth="1"/>
    <col min="10" max="10" width="12.1428571428571" style="1637" customWidth="1"/>
    <col min="11" max="11" width="46" style="1637" customWidth="1"/>
    <col min="12" max="12" width="100" style="1637" customWidth="1"/>
    <col min="13" max="13" width="7" style="1821" customWidth="1"/>
    <col min="14" max="22" width="10" style="1637" customWidth="1"/>
    <col min="23" max="23" width="10.5714285714286" style="1637" hidden="1"/>
  </cols>
  <sheetData>
    <row r="1" spans="3:23" s="1644" customFormat="1" ht="5.25" customHeight="1" hidden="1">
      <c r="C1" s="513"/>
      <c s="496"/>
      <c r="F1" s="513"/>
      <c s="491" t="s">
        <v>82</v>
      </c>
      <c s="491" t="s">
        <v>83</v>
      </c>
      <c s="491" t="s">
        <v>84</v>
      </c>
      <c r="P1" s="491" t="s">
        <v>82</v>
      </c>
      <c s="491" t="s">
        <v>83</v>
      </c>
      <c s="491" t="s">
        <v>84</v>
      </c>
      <c r="W1" s="491" t="s">
        <v>14</v>
      </c>
    </row>
    <row r="2" spans="3:23" s="1644" customFormat="1" ht="5.25" customHeight="1" hidden="1">
      <c r="C2" s="513"/>
      <c s="496"/>
      <c r="F2" s="513"/>
      <c r="W2" s="491">
        <v>0</v>
      </c>
    </row>
    <row r="3" spans="1:23" s="1614" customFormat="1" ht="5.25" customHeight="1">
      <c r="A3" s="481"/>
      <c r="D3" s="488"/>
      <c s="483"/>
      <c s="483"/>
      <c s="483"/>
      <c s="483"/>
      <c s="484"/>
      <c s="485"/>
      <c s="485"/>
      <c s="485"/>
      <c r="W3" s="482">
        <v>5</v>
      </c>
    </row>
    <row r="4" spans="4:23" ht="23.25" customHeight="1">
      <c r="D4" s="452"/>
      <c s="2240" t="s">
        <v>388</v>
      </c>
      <c s="2240"/>
      <c s="2241"/>
      <c s="2241"/>
      <c s="2242"/>
      <c s="493"/>
      <c s="455"/>
      <c s="455"/>
      <c r="W4" s="449">
        <v>22</v>
      </c>
    </row>
    <row r="5" spans="1:23" s="1637" customFormat="1" ht="18" customHeight="1">
      <c r="A5" s="761"/>
      <c r="D5" s="824"/>
      <c s="2216" t="str">
        <f>IF(org=0,"Не определено",org)</f>
        <v>ГУП КК "Кубаньводкомплекс"</v>
      </c>
      <c s="2216"/>
      <c s="2217"/>
      <c s="2217"/>
      <c s="2218"/>
      <c s="493"/>
      <c s="455"/>
      <c s="455"/>
      <c s="509"/>
      <c r="W5" s="760">
        <v>17</v>
      </c>
    </row>
    <row r="6" spans="1:23" s="1614" customFormat="1" ht="11.55" customHeight="1">
      <c r="A6" s="481"/>
      <c r="D6" s="488"/>
      <c s="483"/>
      <c s="483"/>
      <c s="486"/>
      <c s="486"/>
      <c s="487"/>
      <c s="487"/>
      <c s="754"/>
      <c s="487"/>
      <c r="W6" s="482">
        <v>11</v>
      </c>
    </row>
    <row r="7" spans="4:23" ht="14.7" customHeight="1">
      <c r="D7" s="452"/>
      <c s="2210" t="s">
        <v>300</v>
      </c>
      <c s="2210"/>
      <c s="2211"/>
      <c s="2211"/>
      <c s="2211"/>
      <c s="2211"/>
      <c s="2211"/>
      <c s="2225" t="s">
        <v>301</v>
      </c>
      <c r="W7" s="449">
        <v>14</v>
      </c>
    </row>
    <row r="8" spans="4:23" ht="48.3" customHeight="1">
      <c r="D8" s="452"/>
      <c s="475" t="s">
        <v>87</v>
      </c>
      <c s="825"/>
      <c s="467" t="s">
        <v>85</v>
      </c>
      <c s="467" t="s">
        <v>86</v>
      </c>
      <c s="416" t="s">
        <v>84</v>
      </c>
      <c s="416" t="s">
        <v>389</v>
      </c>
      <c s="416" t="s">
        <v>390</v>
      </c>
      <c s="2225"/>
      <c r="W8" s="449">
        <v>46</v>
      </c>
    </row>
    <row r="9" spans="4:23" ht="12" customHeight="1" hidden="1">
      <c r="D9" s="489"/>
      <c s="495"/>
      <c s="832"/>
      <c s="495"/>
      <c s="495"/>
      <c s="495"/>
      <c s="495"/>
      <c s="495"/>
      <c s="495"/>
      <c s="449"/>
      <c r="W9" s="449">
        <v>0</v>
      </c>
    </row>
    <row r="10" spans="1:23" ht="14.25" customHeight="1" hidden="1">
      <c r="A10" s="507"/>
      <c s="507"/>
      <c r="D10" s="508"/>
      <c s="514">
        <v>0</v>
      </c>
      <c s="823"/>
      <c s="510"/>
      <c s="510"/>
      <c s="510"/>
      <c s="510"/>
      <c s="510"/>
      <c s="2223" t="s">
        <v>391</v>
      </c>
      <c s="509"/>
      <c s="507"/>
      <c s="507"/>
      <c s="507"/>
      <c s="507"/>
      <c s="507"/>
      <c s="507"/>
      <c s="507"/>
      <c s="507"/>
      <c s="507"/>
      <c s="449">
        <v>0</v>
      </c>
    </row>
    <row r="11" spans="1:23" ht="15" customHeight="1" hidden="1">
      <c r="A11" s="2101"/>
      <c s="506"/>
      <c s="506"/>
      <c s="867"/>
      <c s="515"/>
      <c s="515"/>
      <c s="515"/>
      <c s="515"/>
      <c s="516"/>
      <c s="517"/>
      <c s="715"/>
      <c s="2243"/>
      <c s="513"/>
      <c s="513"/>
      <c s="513"/>
      <c s="518"/>
      <c s="518"/>
      <c s="519"/>
      <c s="513"/>
      <c s="513"/>
      <c s="513"/>
      <c s="513"/>
      <c s="449">
        <v>0</v>
      </c>
    </row>
    <row r="12" spans="1:23" s="1614" customFormat="1" ht="15" customHeight="1">
      <c r="A12" s="2101"/>
      <c s="506"/>
      <c s="506"/>
      <c s="868"/>
      <c s="825">
        <v>1</v>
      </c>
      <c s="866">
        <v>23</v>
      </c>
      <c s="865"/>
      <c s="795"/>
      <c s="793"/>
      <c s="522" t="s">
        <v>65</v>
      </c>
      <c s="1166" t="s">
        <v>22</v>
      </c>
      <c s="2243"/>
      <c s="513"/>
      <c s="513"/>
      <c s="513"/>
      <c s="518" t="s">
        <v>392</v>
      </c>
      <c s="518" t="s">
        <v>393</v>
      </c>
      <c s="519" t="s">
        <v>394</v>
      </c>
      <c s="513" t="s">
        <v>395</v>
      </c>
      <c s="513"/>
      <c s="513"/>
      <c s="513"/>
      <c s="482">
        <v>14</v>
      </c>
    </row>
    <row r="13" spans="1:23" ht="15.75" customHeight="1">
      <c r="A13" s="2101"/>
      <c s="507"/>
      <c r="D13" s="508"/>
      <c s="407"/>
      <c s="531"/>
      <c s="418" t="s">
        <v>102</v>
      </c>
      <c s="406"/>
      <c s="406"/>
      <c s="406"/>
      <c s="405"/>
      <c s="2224"/>
      <c s="511"/>
      <c s="507"/>
      <c s="507"/>
      <c s="507"/>
      <c s="507"/>
      <c s="507"/>
      <c s="507"/>
      <c s="507"/>
      <c s="507"/>
      <c s="507"/>
      <c s="449">
        <v>15</v>
      </c>
    </row>
    <row r="14" spans="1:23" ht="11.55" customHeight="1">
      <c r="A14" s="481"/>
      <c s="482"/>
      <c s="482"/>
      <c s="497"/>
      <c s="482"/>
      <c s="482"/>
      <c s="482"/>
      <c s="482"/>
      <c s="482"/>
      <c s="482"/>
      <c s="482"/>
      <c s="482"/>
      <c s="482"/>
      <c s="482"/>
      <c s="482"/>
      <c s="482"/>
      <c s="482"/>
      <c s="482"/>
      <c s="482"/>
      <c s="482"/>
      <c s="482"/>
      <c s="482"/>
      <c s="449">
        <v>11</v>
      </c>
    </row>
    <row r="15" spans="4:23" ht="14.7" customHeight="1">
      <c r="D15" s="468"/>
      <c s="338"/>
      <c s="338"/>
      <c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468"/>
      <c s="468"/>
      <c s="468"/>
      <c s="468"/>
      <c s="468"/>
      <c r="W15" s="449">
        <v>14</v>
      </c>
    </row>
    <row r="16" spans="23:23" ht="14.7" customHeight="1">
      <c r="W16" s="449">
        <v>14</v>
      </c>
    </row>
    <row r="17" spans="23:23" ht="14.7" customHeight="1">
      <c r="W17" s="449">
        <v>14</v>
      </c>
    </row>
    <row r="18" spans="7:23" ht="14.7" customHeight="1">
      <c r="G18" s="507"/>
      <c r="W18" s="449">
        <v>14</v>
      </c>
    </row>
    <row r="19" spans="1:23" ht="22.5" customHeight="1" hidden="1">
      <c r="A19" s="451" t="s">
        <v>81</v>
      </c>
      <c s="449">
        <v>0</v>
      </c>
      <c s="760">
        <v>0</v>
      </c>
      <c s="453">
        <v>3</v>
      </c>
      <c s="449">
        <v>6</v>
      </c>
      <c s="760">
        <v>0</v>
      </c>
      <c s="449">
        <v>30</v>
      </c>
      <c s="449">
        <v>30</v>
      </c>
      <c s="449">
        <v>8</v>
      </c>
      <c s="449">
        <v>12</v>
      </c>
      <c s="449">
        <v>46</v>
      </c>
      <c s="449">
        <v>100</v>
      </c>
      <c s="454">
        <v>7</v>
      </c>
      <c s="449">
        <v>10</v>
      </c>
      <c s="449">
        <v>10</v>
      </c>
      <c s="449">
        <v>10</v>
      </c>
      <c s="449">
        <v>10</v>
      </c>
      <c s="449">
        <v>10</v>
      </c>
      <c s="449">
        <v>10</v>
      </c>
      <c s="449">
        <v>10</v>
      </c>
      <c s="449">
        <v>10</v>
      </c>
      <c s="449">
        <v>10</v>
      </c>
      <c s="449">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DF74121-CCFC-1AB7-6BF7-0.84E700AD}"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11">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06"/>
      <c s="354"/>
      <c s="355"/>
      <c s="1311">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11">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11">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403</v>
      </c>
      <c s="539"/>
      <c r="P6" s="2259">
        <v>1</v>
      </c>
      <c s="1307"/>
      <c s="358"/>
      <c s="1311">
        <f>$I6</f>
      </c>
      <c s="287" t="s">
        <v>404</v>
      </c>
      <c s="302"/>
      <c s="2247"/>
      <c s="2248"/>
      <c s="2248"/>
      <c s="2248"/>
      <c s="2248"/>
      <c s="2248"/>
      <c s="2248"/>
      <c s="2249"/>
      <c s="2247"/>
      <c s="2248"/>
      <c s="2248"/>
      <c s="2248"/>
      <c s="2248"/>
      <c s="2248"/>
      <c s="2248"/>
      <c s="2248"/>
      <c s="2249"/>
      <c s="1260" t="s">
        <v>405</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406</v>
      </c>
      <c s="539"/>
      <c s="1368"/>
      <c r="P7" s="2259"/>
      <c s="2259">
        <v>1</v>
      </c>
      <c s="359"/>
      <c s="1311">
        <f>$J7</f>
      </c>
      <c s="288" t="s">
        <v>407</v>
      </c>
      <c s="302"/>
      <c s="2247"/>
      <c s="2248"/>
      <c s="2248"/>
      <c s="2248"/>
      <c s="2248"/>
      <c s="2248"/>
      <c s="2248"/>
      <c s="2249"/>
      <c s="2247"/>
      <c s="2248"/>
      <c s="2248"/>
      <c s="2248"/>
      <c s="2248"/>
      <c s="2248"/>
      <c s="2248"/>
      <c s="2248"/>
      <c s="2249"/>
      <c s="1260" t="s">
        <v>408</v>
      </c>
      <c r="AO7" s="502"/>
      <c s="502" t="str">
        <f>IF(T7="","",T7)</f>
        <v>Группа потребителей</v>
      </c>
      <c s="502"/>
      <c s="502"/>
      <c s="1157">
        <v>0</v>
      </c>
    </row>
    <row r="8" spans="1:45" ht="21" customHeight="1" hidden="1">
      <c r="A8" s="1365"/>
      <c s="1365"/>
      <c s="1365"/>
      <c s="1365"/>
      <c s="2261"/>
      <c s="2261"/>
      <c s="2261"/>
      <c s="2261"/>
      <c s="2288"/>
      <c s="2288"/>
      <c s="2258">
        <f>J7&amp;".1"</f>
      </c>
      <c s="1366" t="s">
        <v>409</v>
      </c>
      <c s="539"/>
      <c s="1368"/>
      <c s="1368"/>
      <c s="2259"/>
      <c s="2259"/>
      <c s="359">
        <v>1</v>
      </c>
      <c s="1311">
        <f>$K8</f>
      </c>
      <c s="1349"/>
      <c s="302"/>
      <c s="753"/>
      <c s="327"/>
      <c s="753"/>
      <c s="1259"/>
      <c s="2267"/>
      <c s="2109" t="s">
        <v>65</v>
      </c>
      <c s="2267"/>
      <c s="2109" t="s">
        <v>65</v>
      </c>
      <c s="753"/>
      <c s="327"/>
      <c s="753"/>
      <c s="1259"/>
      <c s="2267"/>
      <c s="2109" t="s">
        <v>65</v>
      </c>
      <c s="2267"/>
      <c s="2109" t="s">
        <v>65</v>
      </c>
      <c s="327"/>
      <c s="2255" t="s">
        <v>410</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08"/>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07"/>
      <c s="358"/>
      <c s="1280"/>
      <c s="289"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413</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16:45" ht="14.25" customHeight="1" hidden="1">
      <c r="P17" s="1313"/>
      <c r="AD17" s="1362"/>
      <c s="1362"/>
      <c s="1362"/>
      <c s="1363"/>
      <c s="2269"/>
      <c s="2270" t="s">
        <v>65</v>
      </c>
      <c s="2269"/>
      <c s="2270" t="s">
        <v>65</v>
      </c>
      <c r="AS17" s="1157">
        <v>0</v>
      </c>
    </row>
    <row r="18" spans="16:45" ht="14.25" customHeight="1" hidden="1">
      <c r="P18" s="1313"/>
      <c r="AD18" s="1362"/>
      <c s="1362"/>
      <c s="1362"/>
      <c s="330" t="str">
        <f>AH17&amp;"-"&amp;AJ17</f>
        <v>-</v>
      </c>
      <c s="2270"/>
      <c s="2270"/>
      <c s="2270"/>
      <c s="2270"/>
      <c r="AS18" s="1157">
        <v>0</v>
      </c>
    </row>
    <row r="19" spans="16:45" ht="14.25" customHeight="1" hidden="1">
      <c r="P19" s="1313"/>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s="1313"/>
      <c r="AS23" s="1157">
        <v>0</v>
      </c>
    </row>
    <row r="24" spans="15:45" ht="14.25" customHeight="1" hidden="1">
      <c r="O24" s="1366"/>
      <c s="1313"/>
      <c r="AS24" s="1157">
        <v>0</v>
      </c>
    </row>
    <row r="25" spans="17:45" ht="14.7" customHeight="1">
      <c r="Q25" s="378"/>
      <c s="378"/>
      <c s="1277"/>
      <c s="365"/>
      <c s="365"/>
      <c s="511"/>
      <c s="511"/>
      <c s="511"/>
      <c s="511"/>
      <c s="511"/>
      <c s="511"/>
      <c s="511"/>
      <c s="511"/>
      <c s="511"/>
      <c s="511"/>
      <c s="511"/>
      <c s="511"/>
      <c s="511"/>
      <c s="511"/>
      <c s="511"/>
      <c s="511"/>
      <c r="AS25" s="1157">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6:45" ht="14.25" customHeight="1" hidden="1">
      <c r="P33" s="1330"/>
      <c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221"/>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77"/>
      <c s="2277"/>
      <c s="2277"/>
      <c s="2277"/>
      <c s="2278"/>
      <c s="2279" t="s">
        <v>430</v>
      </c>
      <c s="2276" t="s">
        <v>429</v>
      </c>
      <c s="2277"/>
      <c s="2277"/>
      <c s="2277"/>
      <c s="2277"/>
      <c s="2277"/>
      <c s="2278"/>
      <c s="2279" t="s">
        <v>431</v>
      </c>
      <c s="2282" t="s">
        <v>432</v>
      </c>
      <c s="2129"/>
      <c r="AS39" s="1157">
        <v>14</v>
      </c>
    </row>
    <row r="40" spans="17:45" ht="35.7" customHeight="1">
      <c r="Q40" s="378"/>
      <c s="378"/>
      <c s="2275"/>
      <c s="2211"/>
      <c s="1033"/>
      <c s="2262" t="s">
        <v>433</v>
      </c>
      <c s="2612" t="s">
        <v>434</v>
      </c>
      <c s="2264" t="s">
        <v>435</v>
      </c>
      <c s="2265"/>
      <c s="2264" t="s">
        <v>436</v>
      </c>
      <c s="2271"/>
      <c s="2265"/>
      <c s="2280"/>
      <c s="2262" t="s">
        <v>433</v>
      </c>
      <c s="2285" t="s">
        <v>434</v>
      </c>
      <c s="2264" t="s">
        <v>435</v>
      </c>
      <c s="2265"/>
      <c s="2264" t="s">
        <v>436</v>
      </c>
      <c s="2271"/>
      <c s="2265"/>
      <c s="2280"/>
      <c s="2283"/>
      <c s="2129"/>
      <c r="AS40" s="1157">
        <v>34</v>
      </c>
    </row>
    <row r="41" spans="1:45" ht="35.7" customHeight="1">
      <c r="A41" s="1372"/>
      <c s="1372" t="s">
        <v>137</v>
      </c>
      <c s="1372" t="s">
        <v>138</v>
      </c>
      <c s="1372" t="s">
        <v>139</v>
      </c>
      <c s="1366" t="s">
        <v>437</v>
      </c>
      <c s="1366" t="s">
        <v>438</v>
      </c>
      <c s="1366" t="s">
        <v>439</v>
      </c>
      <c s="1366" t="s">
        <v>440</v>
      </c>
      <c s="1366" t="s">
        <v>441</v>
      </c>
      <c s="1366" t="s">
        <v>442</v>
      </c>
      <c s="1366" t="s">
        <v>443</v>
      </c>
      <c s="1366" t="s">
        <v>418</v>
      </c>
      <c r="Q41" s="378"/>
      <c s="378"/>
      <c s="2275"/>
      <c s="2211"/>
      <c s="304"/>
      <c s="2263"/>
      <c s="2286"/>
      <c s="1224" t="s">
        <v>444</v>
      </c>
      <c s="1224" t="s">
        <v>445</v>
      </c>
      <c s="1223" t="s">
        <v>446</v>
      </c>
      <c s="2272" t="s">
        <v>447</v>
      </c>
      <c s="2273"/>
      <c s="2281"/>
      <c s="2263"/>
      <c s="2286"/>
      <c s="1224" t="s">
        <v>444</v>
      </c>
      <c s="1224" t="s">
        <v>445</v>
      </c>
      <c s="1315" t="s">
        <v>446</v>
      </c>
      <c s="2272" t="s">
        <v>447</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258">
        <f ca="1">OFFSET(V42,0,-1)+1</f>
        <v>3</v>
      </c>
      <c s="1258"/>
      <c s="1258">
        <f ca="1">OFFSET(X42,0,-1)+1</f>
        <v>1</v>
      </c>
      <c s="1258">
        <f ca="1">OFFSET(Y42,0,-1)+1</f>
        <v>2</v>
      </c>
      <c s="1258">
        <f ca="1">OFFSET(Z42,0,-1)+1</f>
        <v>3</v>
      </c>
      <c s="2274">
        <f ca="1">OFFSET(AA42,0,-1)+1</f>
        <v>4</v>
      </c>
      <c s="2274"/>
      <c s="1258">
        <f ca="1">OFFSET(AC42,0,-2)+1</f>
        <v>5</v>
      </c>
      <c s="1314">
        <f ca="1">OFFSET(AD42,0,-1)+1</f>
        <v>6</v>
      </c>
      <c s="1314"/>
      <c s="1314">
        <f ca="1">OFFSET(AF42,0,-1)+1</f>
        <v>1</v>
      </c>
      <c s="1314">
        <f ca="1">OFFSET(AG42,0,-1)+1</f>
        <v>2</v>
      </c>
      <c s="1314">
        <f ca="1">OFFSET(AH42,0,-1)+1</f>
        <v>3</v>
      </c>
      <c s="2274">
        <f ca="1">OFFSET(AI42,0,-1)+1</f>
        <v>4</v>
      </c>
      <c s="2274"/>
      <c s="1314">
        <f ca="1">OFFSET(AK42,0,-2)+1</f>
        <v>5</v>
      </c>
      <c s="1247">
        <f ca="1">OFFSET(AL42,0,-1)</f>
        <v>5</v>
      </c>
      <c s="1258">
        <f ca="1">OFFSET(AM42,0,-1)+1</f>
        <v>6</v>
      </c>
      <c s="513"/>
      <c s="513"/>
      <c s="513"/>
      <c s="513"/>
      <c s="513"/>
      <c s="498">
        <v>0</v>
      </c>
    </row>
    <row r="43" spans="1:45" ht="24" customHeight="1">
      <c r="A43" s="1365" t="s">
        <v>158</v>
      </c>
      <c s="1365"/>
      <c s="1365"/>
      <c s="1365"/>
      <c s="2260">
        <v>1</v>
      </c>
      <c s="1365"/>
      <c s="1365"/>
      <c s="1365"/>
      <c s="1365"/>
      <c s="1365"/>
      <c s="1365"/>
      <c s="1366"/>
      <c s="1367"/>
      <c s="1367"/>
      <c s="1367"/>
      <c s="363"/>
      <c s="362"/>
      <c s="357"/>
      <c s="1226">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23</v>
      </c>
    </row>
    <row r="44" spans="1:45" ht="24" customHeight="1">
      <c r="A44" s="1365" t="s">
        <v>158</v>
      </c>
      <c s="1365" t="s">
        <v>159</v>
      </c>
      <c s="1365"/>
      <c s="1365"/>
      <c s="2261"/>
      <c s="2260">
        <v>1</v>
      </c>
      <c s="1365"/>
      <c s="1365"/>
      <c s="1365"/>
      <c s="1365"/>
      <c s="1365"/>
      <c s="1366"/>
      <c s="1367"/>
      <c s="1367"/>
      <c s="1367"/>
      <c s="524"/>
      <c s="354"/>
      <c s="355"/>
      <c s="1226"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23</v>
      </c>
    </row>
    <row r="45" spans="1:45" ht="24" customHeight="1">
      <c r="A45" s="1365" t="s">
        <v>158</v>
      </c>
      <c s="1365" t="s">
        <v>159</v>
      </c>
      <c s="1365" t="s">
        <v>160</v>
      </c>
      <c s="1365"/>
      <c s="2261"/>
      <c s="2261"/>
      <c s="2260">
        <v>1</v>
      </c>
      <c s="1365"/>
      <c s="1365"/>
      <c s="1365"/>
      <c s="1365"/>
      <c s="1366"/>
      <c s="1367"/>
      <c s="1367"/>
      <c s="1367"/>
      <c s="356"/>
      <c s="354"/>
      <c s="355"/>
      <c s="1226"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4" customHeight="1">
      <c r="A46" s="1365" t="s">
        <v>158</v>
      </c>
      <c s="1365" t="s">
        <v>159</v>
      </c>
      <c s="1365" t="s">
        <v>160</v>
      </c>
      <c s="1365" t="s">
        <v>161</v>
      </c>
      <c s="2261"/>
      <c s="2261"/>
      <c s="2261"/>
      <c s="2260">
        <v>1</v>
      </c>
      <c s="1365"/>
      <c s="1365"/>
      <c s="1365"/>
      <c s="1366"/>
      <c s="1367"/>
      <c s="1367"/>
      <c s="1367"/>
      <c s="356"/>
      <c s="354"/>
      <c s="355"/>
      <c s="1226"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23</v>
      </c>
    </row>
    <row r="47" spans="1:45" ht="49.5" customHeight="1">
      <c r="A47" s="1365" t="s">
        <v>158</v>
      </c>
      <c s="1365" t="s">
        <v>159</v>
      </c>
      <c s="1365" t="s">
        <v>160</v>
      </c>
      <c s="1365" t="s">
        <v>161</v>
      </c>
      <c s="2261"/>
      <c s="2261"/>
      <c s="2261"/>
      <c s="2261"/>
      <c s="2258" t="str">
        <f>S46&amp;".1"</f>
        <v>....1</v>
      </c>
      <c s="1365"/>
      <c s="1365"/>
      <c s="1366" t="s">
        <v>403</v>
      </c>
      <c r="P47" s="2259">
        <v>1</v>
      </c>
      <c s="1222"/>
      <c s="358"/>
      <c s="1226" t="str">
        <f>$I47</f>
        <v>....1</v>
      </c>
      <c s="287" t="s">
        <v>404</v>
      </c>
      <c s="302"/>
      <c s="2247"/>
      <c s="2248"/>
      <c s="2248"/>
      <c s="2248"/>
      <c s="2248"/>
      <c s="2248"/>
      <c s="2248"/>
      <c s="2249"/>
      <c s="2247"/>
      <c s="2248"/>
      <c s="2248"/>
      <c s="2248"/>
      <c s="2248"/>
      <c s="2248"/>
      <c s="2248"/>
      <c s="2248"/>
      <c s="2249"/>
      <c s="1260" t="s">
        <v>405</v>
      </c>
      <c r="AO47" s="502"/>
      <c s="502" t="str">
        <f>IF(T47="","",T47)</f>
        <v>Схема подключения теплопотребляющей установки к коллектору источника тепловой энергии</v>
      </c>
      <c s="502"/>
      <c s="502"/>
      <c s="1157">
        <v>47</v>
      </c>
    </row>
    <row r="48" spans="1:45" ht="24" customHeight="1">
      <c r="A48" s="1365" t="s">
        <v>158</v>
      </c>
      <c s="1365" t="s">
        <v>159</v>
      </c>
      <c s="1365" t="s">
        <v>160</v>
      </c>
      <c s="1365" t="s">
        <v>161</v>
      </c>
      <c s="2261"/>
      <c s="2261"/>
      <c s="2261"/>
      <c s="2261"/>
      <c s="2288"/>
      <c s="2258" t="str">
        <f>I47&amp;".1"</f>
        <v>....1.1</v>
      </c>
      <c s="1365"/>
      <c s="1366" t="s">
        <v>406</v>
      </c>
      <c r="P48" s="2259"/>
      <c s="2259">
        <v>1</v>
      </c>
      <c s="359"/>
      <c s="1226" t="str">
        <f>$J48</f>
        <v>....1.1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23</v>
      </c>
    </row>
    <row r="49" spans="1:45" ht="24" customHeight="1">
      <c r="A49" s="1365" t="s">
        <v>158</v>
      </c>
      <c s="1365" t="s">
        <v>159</v>
      </c>
      <c s="1365" t="s">
        <v>160</v>
      </c>
      <c s="1365" t="s">
        <v>161</v>
      </c>
      <c s="2261"/>
      <c s="2261"/>
      <c s="2261"/>
      <c s="2261"/>
      <c s="2288"/>
      <c s="2288"/>
      <c s="2258" t="str">
        <f>J48&amp;".1"</f>
        <v>....1.1.1</v>
      </c>
      <c s="1366" t="s">
        <v>409</v>
      </c>
      <c r="P49" s="2259"/>
      <c s="2259"/>
      <c s="359">
        <v>1</v>
      </c>
      <c s="1226" t="str">
        <f>$K49</f>
        <v>....1.1.1</v>
      </c>
      <c s="1349"/>
      <c s="302"/>
      <c s="753"/>
      <c s="327"/>
      <c s="753"/>
      <c s="1259"/>
      <c s="2267"/>
      <c s="2109" t="s">
        <v>65</v>
      </c>
      <c s="2267"/>
      <c s="2109" t="s">
        <v>65</v>
      </c>
      <c s="753"/>
      <c s="327"/>
      <c s="753"/>
      <c s="1259"/>
      <c s="2267"/>
      <c s="2109" t="s">
        <v>65</v>
      </c>
      <c s="2289"/>
      <c s="2109" t="s">
        <v>65</v>
      </c>
      <c s="1350"/>
      <c s="2255" t="s">
        <v>410</v>
      </c>
      <c s="513">
        <f>STRCHECKDATE(V50:AL50)</f>
      </c>
      <c s="502"/>
      <c s="502" t="str">
        <f>IF(T49="","",T49)</f>
        <v/>
      </c>
      <c s="502"/>
      <c s="502"/>
      <c s="1157">
        <v>23</v>
      </c>
    </row>
    <row r="50" spans="1:45" ht="1.05" customHeight="1">
      <c r="A50" s="1365" t="s">
        <v>158</v>
      </c>
      <c s="1365" t="s">
        <v>159</v>
      </c>
      <c s="1365" t="s">
        <v>160</v>
      </c>
      <c s="1365" t="s">
        <v>161</v>
      </c>
      <c s="2261"/>
      <c s="2261"/>
      <c s="2261"/>
      <c s="2261"/>
      <c s="2288"/>
      <c s="2288"/>
      <c s="2258"/>
      <c s="1366"/>
      <c r="P50" s="2259"/>
      <c s="2259"/>
      <c s="359"/>
      <c s="1225"/>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158</v>
      </c>
      <c s="1365" t="s">
        <v>159</v>
      </c>
      <c s="1365" t="s">
        <v>160</v>
      </c>
      <c s="1365" t="s">
        <v>161</v>
      </c>
      <c s="2261"/>
      <c s="2261"/>
      <c s="2261"/>
      <c s="2261"/>
      <c s="2288"/>
      <c s="2258"/>
      <c s="1365"/>
      <c s="1366"/>
      <c r="P51" s="2259"/>
      <c s="2259"/>
      <c s="358"/>
      <c s="1280"/>
      <c s="290"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158</v>
      </c>
      <c s="1365" t="s">
        <v>159</v>
      </c>
      <c s="1365" t="s">
        <v>160</v>
      </c>
      <c s="1365" t="s">
        <v>161</v>
      </c>
      <c s="2261"/>
      <c s="2261"/>
      <c s="2261"/>
      <c s="2261"/>
      <c s="2258"/>
      <c s="1365"/>
      <c s="1365"/>
      <c s="1366"/>
      <c r="P52" s="2259"/>
      <c s="1222"/>
      <c s="358"/>
      <c s="1280"/>
      <c s="289"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158</v>
      </c>
      <c s="1365" t="s">
        <v>159</v>
      </c>
      <c s="1365" t="s">
        <v>160</v>
      </c>
      <c s="1365" t="s">
        <v>161</v>
      </c>
      <c s="2261"/>
      <c s="2261"/>
      <c s="2261"/>
      <c s="2260"/>
      <c s="1365"/>
      <c s="1365"/>
      <c s="1365"/>
      <c s="1366"/>
      <c s="1367"/>
      <c s="1367"/>
      <c s="539"/>
      <c s="362"/>
      <c s="377"/>
      <c s="357"/>
      <c s="1280"/>
      <c s="367" t="s">
        <v>413</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158</v>
      </c>
      <c s="1345" t="s">
        <v>159</v>
      </c>
      <c s="1345" t="s">
        <v>160</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158</v>
      </c>
      <c s="1345" t="s">
        <v>159</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158</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67.2" customHeight="1">
      <c r="O60" s="539"/>
      <c s="1305"/>
      <c r="T60" s="2287"/>
      <c s="2287"/>
      <c s="2287"/>
      <c s="2287"/>
      <c s="2287"/>
      <c s="2287"/>
      <c s="2287"/>
      <c s="2287"/>
      <c s="2287"/>
      <c s="2287"/>
      <c s="2287"/>
      <c s="2287"/>
      <c s="2287"/>
      <c s="2287"/>
      <c s="2287"/>
      <c s="2287"/>
      <c s="2287"/>
      <c s="2287"/>
      <c s="2287"/>
      <c s="2287"/>
      <c r="AS60" s="1157">
        <v>64</v>
      </c>
    </row>
    <row r="61" spans="15:45" ht="14.7" customHeight="1">
      <c r="O61" s="539"/>
      <c r="AS61" s="1157">
        <v>14</v>
      </c>
    </row>
    <row r="62" spans="15:45" ht="18.75" customHeight="1">
      <c r="O62" s="539"/>
      <c s="1330"/>
      <c r="S62" s="1255"/>
      <c s="2287"/>
      <c s="2287"/>
      <c s="2287"/>
      <c s="2287"/>
      <c s="2287"/>
      <c s="2287"/>
      <c s="2287"/>
      <c s="2287"/>
      <c s="2287"/>
      <c s="2287"/>
      <c s="2287"/>
      <c s="2287"/>
      <c s="2287"/>
      <c s="2287"/>
      <c s="2287"/>
      <c s="2287"/>
      <c s="2287"/>
      <c s="2287"/>
      <c s="2287"/>
      <c s="2287"/>
      <c r="AS62" s="1157">
        <v>18</v>
      </c>
    </row>
    <row r="63" spans="15:45" ht="18.75" customHeight="1">
      <c r="O63" s="539"/>
      <c s="1330"/>
      <c r="T63" s="2287"/>
      <c s="2287"/>
      <c s="2287"/>
      <c s="2287"/>
      <c s="2287"/>
      <c s="2287"/>
      <c s="2287"/>
      <c s="2287"/>
      <c s="2287"/>
      <c s="2287"/>
      <c s="2287"/>
      <c s="2287"/>
      <c s="2287"/>
      <c s="2287"/>
      <c s="2287"/>
      <c s="2287"/>
      <c s="2287"/>
      <c s="2287"/>
      <c s="2287"/>
      <c s="2287"/>
      <c r="AS63" s="1157">
        <v>18</v>
      </c>
    </row>
    <row r="64" spans="15:45" ht="29.25" customHeight="1">
      <c r="O64" s="539"/>
      <c s="1330"/>
      <c r="S64" s="1255"/>
      <c s="2287"/>
      <c s="2287"/>
      <c s="2287"/>
      <c s="2287"/>
      <c s="2287"/>
      <c s="2287"/>
      <c s="2287"/>
      <c s="2287"/>
      <c s="2287"/>
      <c s="2287"/>
      <c s="2287"/>
      <c s="2287"/>
      <c s="2287"/>
      <c s="2287"/>
      <c s="2287"/>
      <c s="2287"/>
      <c s="2287"/>
      <c s="2287"/>
      <c s="2287"/>
      <c s="2287"/>
      <c r="AS64" s="1157">
        <v>28</v>
      </c>
    </row>
    <row r="65" spans="1:45" ht="22.5" customHeight="1" hidden="1">
      <c r="A65" s="1162" t="s">
        <v>81</v>
      </c>
      <c s="1162">
        <v>0</v>
      </c>
      <c s="1162">
        <v>0</v>
      </c>
      <c s="1162">
        <v>0</v>
      </c>
      <c s="1162">
        <v>0</v>
      </c>
      <c s="1162">
        <v>0</v>
      </c>
      <c s="1162">
        <v>0</v>
      </c>
      <c s="1162">
        <v>0</v>
      </c>
      <c s="1162">
        <v>0</v>
      </c>
      <c s="1162">
        <v>0</v>
      </c>
      <c s="1162">
        <v>0</v>
      </c>
      <c s="1331">
        <v>0</v>
      </c>
      <c s="1364">
        <v>0</v>
      </c>
      <c s="1364">
        <v>0</v>
      </c>
      <c s="1364">
        <v>0</v>
      </c>
      <c s="1220">
        <v>3</v>
      </c>
      <c s="346">
        <v>3</v>
      </c>
      <c s="346">
        <v>3</v>
      </c>
      <c s="583">
        <v>12</v>
      </c>
      <c s="1157">
        <v>35</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3E097CD-36AE-315F-0A62-0.71962263}"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403</v>
      </c>
      <c s="539"/>
      <c r="P6" s="2259">
        <v>1</v>
      </c>
      <c s="1333"/>
      <c s="358"/>
      <c s="1338">
        <f>$I6</f>
      </c>
      <c s="287" t="s">
        <v>404</v>
      </c>
      <c s="302"/>
      <c s="2247"/>
      <c s="2248"/>
      <c s="2248"/>
      <c s="2248"/>
      <c s="2248"/>
      <c s="2248"/>
      <c s="2248"/>
      <c s="2249"/>
      <c s="2247"/>
      <c s="2248"/>
      <c s="2248"/>
      <c s="2248"/>
      <c s="2248"/>
      <c s="2248"/>
      <c s="2248"/>
      <c s="2248"/>
      <c s="2249"/>
      <c s="1260" t="s">
        <v>405</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406</v>
      </c>
      <c s="539"/>
      <c s="1368"/>
      <c r="P7" s="2259"/>
      <c s="2259">
        <v>1</v>
      </c>
      <c s="359"/>
      <c s="1338">
        <f>$J7</f>
      </c>
      <c s="288" t="s">
        <v>407</v>
      </c>
      <c s="302"/>
      <c s="2247"/>
      <c s="2248"/>
      <c s="2248"/>
      <c s="2248"/>
      <c s="2248"/>
      <c s="2248"/>
      <c s="2248"/>
      <c s="2249"/>
      <c s="2247"/>
      <c s="2248"/>
      <c s="2248"/>
      <c s="2248"/>
      <c s="2248"/>
      <c s="2248"/>
      <c s="2248"/>
      <c s="2248"/>
      <c s="2249"/>
      <c s="1260" t="s">
        <v>408</v>
      </c>
      <c r="AO7" s="502"/>
      <c s="502" t="str">
        <f>IF(T7="","",T7)</f>
        <v>Группа потребителей</v>
      </c>
      <c s="502"/>
      <c s="502"/>
      <c s="1157">
        <v>0</v>
      </c>
    </row>
    <row r="8" spans="1:45" ht="21" customHeight="1" hidden="1">
      <c r="A8" s="1365"/>
      <c s="1365"/>
      <c s="1365"/>
      <c s="1365"/>
      <c s="2261"/>
      <c s="2261"/>
      <c s="2261"/>
      <c s="2261"/>
      <c s="2288"/>
      <c s="2288"/>
      <c s="2258">
        <f>J7&amp;".1"</f>
      </c>
      <c s="1366" t="s">
        <v>409</v>
      </c>
      <c s="539"/>
      <c s="1368"/>
      <c s="1368"/>
      <c s="2259"/>
      <c s="2259"/>
      <c s="359">
        <v>1</v>
      </c>
      <c s="1338">
        <f>$K8</f>
      </c>
      <c s="1349"/>
      <c s="302"/>
      <c s="753"/>
      <c s="327"/>
      <c s="753"/>
      <c s="1259"/>
      <c s="2267"/>
      <c s="2109" t="s">
        <v>65</v>
      </c>
      <c s="2267"/>
      <c s="2109" t="s">
        <v>65</v>
      </c>
      <c s="753"/>
      <c s="327"/>
      <c s="753"/>
      <c s="1259"/>
      <c s="2267"/>
      <c s="2109" t="s">
        <v>65</v>
      </c>
      <c s="2267"/>
      <c s="2109" t="s">
        <v>65</v>
      </c>
      <c s="327"/>
      <c s="2255" t="s">
        <v>410</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289"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413</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77"/>
      <c s="2277"/>
      <c s="2277"/>
      <c s="2277"/>
      <c s="2278"/>
      <c s="2279" t="s">
        <v>430</v>
      </c>
      <c s="2276" t="s">
        <v>429</v>
      </c>
      <c s="2277"/>
      <c s="2277"/>
      <c s="2277"/>
      <c s="2277"/>
      <c s="2277"/>
      <c s="2278"/>
      <c s="2279" t="s">
        <v>431</v>
      </c>
      <c s="2282" t="s">
        <v>432</v>
      </c>
      <c s="2129"/>
      <c r="AS39" s="1157">
        <v>14</v>
      </c>
    </row>
    <row r="40" spans="17:45" ht="35.7" customHeight="1">
      <c r="Q40" s="378"/>
      <c s="378"/>
      <c s="2275"/>
      <c s="2211"/>
      <c s="1033"/>
      <c s="2262" t="s">
        <v>433</v>
      </c>
      <c s="2285" t="s">
        <v>434</v>
      </c>
      <c s="2264" t="s">
        <v>435</v>
      </c>
      <c s="2265"/>
      <c s="2264" t="s">
        <v>449</v>
      </c>
      <c s="2271"/>
      <c s="2265"/>
      <c s="2280"/>
      <c s="2262" t="s">
        <v>433</v>
      </c>
      <c s="2285" t="s">
        <v>434</v>
      </c>
      <c s="2264" t="s">
        <v>435</v>
      </c>
      <c s="2265"/>
      <c s="2264" t="s">
        <v>436</v>
      </c>
      <c s="2271"/>
      <c s="2265"/>
      <c s="2280"/>
      <c s="2283"/>
      <c s="2129"/>
      <c r="AS40" s="1157">
        <v>34</v>
      </c>
    </row>
    <row r="41" spans="1:45" ht="35.7" customHeight="1">
      <c r="A41" s="1372"/>
      <c s="1372" t="s">
        <v>137</v>
      </c>
      <c s="1372" t="s">
        <v>138</v>
      </c>
      <c s="1372" t="s">
        <v>139</v>
      </c>
      <c s="1366" t="s">
        <v>437</v>
      </c>
      <c s="1366" t="s">
        <v>438</v>
      </c>
      <c s="1366" t="s">
        <v>439</v>
      </c>
      <c s="1366" t="s">
        <v>440</v>
      </c>
      <c s="1366" t="s">
        <v>441</v>
      </c>
      <c s="1366" t="s">
        <v>442</v>
      </c>
      <c s="1366" t="s">
        <v>443</v>
      </c>
      <c s="1366" t="s">
        <v>418</v>
      </c>
      <c r="Q41" s="378"/>
      <c s="378"/>
      <c s="2275"/>
      <c s="2211"/>
      <c s="304"/>
      <c s="2263"/>
      <c s="2286"/>
      <c s="1224" t="s">
        <v>444</v>
      </c>
      <c s="1224" t="s">
        <v>445</v>
      </c>
      <c s="1340" t="s">
        <v>446</v>
      </c>
      <c s="2272" t="s">
        <v>447</v>
      </c>
      <c s="2273"/>
      <c s="2281"/>
      <c s="2263"/>
      <c s="2286"/>
      <c s="1224" t="s">
        <v>444</v>
      </c>
      <c s="1224" t="s">
        <v>445</v>
      </c>
      <c s="1340" t="s">
        <v>446</v>
      </c>
      <c s="2272" t="s">
        <v>447</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163</v>
      </c>
      <c s="1365"/>
      <c s="1365"/>
      <c s="1365"/>
      <c s="2260">
        <v>1</v>
      </c>
      <c s="1365"/>
      <c s="1365"/>
      <c s="1365"/>
      <c s="1365"/>
      <c s="1365"/>
      <c s="1365"/>
      <c s="1366"/>
      <c s="1367"/>
      <c s="1367"/>
      <c s="1367"/>
      <c s="363"/>
      <c s="362"/>
      <c s="357"/>
      <c s="1338">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163</v>
      </c>
      <c s="1365" t="s">
        <v>164</v>
      </c>
      <c s="1365"/>
      <c s="1365"/>
      <c s="2261"/>
      <c s="2260">
        <v>1</v>
      </c>
      <c s="1365"/>
      <c s="1365"/>
      <c s="1365"/>
      <c s="1365"/>
      <c s="1365"/>
      <c s="1366"/>
      <c s="1367"/>
      <c s="1367"/>
      <c s="1367"/>
      <c s="1334"/>
      <c s="354"/>
      <c s="355"/>
      <c s="1338"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21</v>
      </c>
    </row>
    <row r="45" spans="1:45" ht="24" customHeight="1">
      <c r="A45" s="1365" t="s">
        <v>163</v>
      </c>
      <c s="1365" t="s">
        <v>164</v>
      </c>
      <c s="1365" t="s">
        <v>165</v>
      </c>
      <c s="1365"/>
      <c s="2261"/>
      <c s="2261"/>
      <c s="2260">
        <v>1</v>
      </c>
      <c s="1365"/>
      <c s="1365"/>
      <c s="1365"/>
      <c s="1365"/>
      <c s="1366"/>
      <c s="1367"/>
      <c s="1367"/>
      <c s="1367"/>
      <c s="356"/>
      <c s="354"/>
      <c s="355"/>
      <c s="1338"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2.05" customHeight="1">
      <c r="A46" s="1365" t="s">
        <v>163</v>
      </c>
      <c s="1365" t="s">
        <v>164</v>
      </c>
      <c s="1365" t="s">
        <v>165</v>
      </c>
      <c s="1365" t="s">
        <v>166</v>
      </c>
      <c s="2261"/>
      <c s="2261"/>
      <c s="2261"/>
      <c s="2260">
        <v>1</v>
      </c>
      <c s="1365"/>
      <c s="1365"/>
      <c s="1365"/>
      <c s="1366"/>
      <c s="1367"/>
      <c s="1367"/>
      <c s="1367"/>
      <c s="356"/>
      <c s="354"/>
      <c s="355"/>
      <c s="1338"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21</v>
      </c>
    </row>
    <row r="47" spans="1:45" ht="49.5" customHeight="1">
      <c r="A47" s="1365" t="s">
        <v>163</v>
      </c>
      <c s="1365" t="s">
        <v>164</v>
      </c>
      <c s="1365" t="s">
        <v>165</v>
      </c>
      <c s="1365" t="s">
        <v>166</v>
      </c>
      <c s="2261"/>
      <c s="2261"/>
      <c s="2261"/>
      <c s="2261"/>
      <c s="2258" t="str">
        <f>S46&amp;".1"</f>
        <v>....1</v>
      </c>
      <c s="1365"/>
      <c s="1365"/>
      <c s="1366" t="s">
        <v>403</v>
      </c>
      <c r="P47" s="2259">
        <v>1</v>
      </c>
      <c s="1333"/>
      <c s="358"/>
      <c s="1338" t="str">
        <f>$I47</f>
        <v>....1</v>
      </c>
      <c s="287" t="s">
        <v>404</v>
      </c>
      <c s="302"/>
      <c s="2247"/>
      <c s="2248"/>
      <c s="2248"/>
      <c s="2248"/>
      <c s="2248"/>
      <c s="2248"/>
      <c s="2248"/>
      <c s="2249"/>
      <c s="2247"/>
      <c s="2248"/>
      <c s="2248"/>
      <c s="2248"/>
      <c s="2248"/>
      <c s="2248"/>
      <c s="2248"/>
      <c s="2248"/>
      <c s="2249"/>
      <c s="1260" t="s">
        <v>405</v>
      </c>
      <c r="AO47" s="502"/>
      <c s="502" t="str">
        <f>IF(T47="","",T47)</f>
        <v>Схема подключения теплопотребляющей установки к коллектору источника тепловой энергии</v>
      </c>
      <c s="502"/>
      <c s="502"/>
      <c s="1157">
        <v>47</v>
      </c>
    </row>
    <row r="48" spans="1:45" ht="22.05" customHeight="1">
      <c r="A48" s="1365" t="s">
        <v>163</v>
      </c>
      <c s="1365" t="s">
        <v>164</v>
      </c>
      <c s="1365" t="s">
        <v>165</v>
      </c>
      <c s="1365" t="s">
        <v>166</v>
      </c>
      <c s="2261"/>
      <c s="2261"/>
      <c s="2261"/>
      <c s="2261"/>
      <c s="2288"/>
      <c s="2258" t="str">
        <f>I47&amp;".1"</f>
        <v>....1.1</v>
      </c>
      <c s="1365"/>
      <c s="1366" t="s">
        <v>406</v>
      </c>
      <c r="P48" s="2259"/>
      <c s="2259">
        <v>1</v>
      </c>
      <c s="359"/>
      <c s="1338" t="str">
        <f>$J48</f>
        <v>....1.1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21</v>
      </c>
    </row>
    <row r="49" spans="1:45" ht="22.05" customHeight="1">
      <c r="A49" s="1365" t="s">
        <v>163</v>
      </c>
      <c s="1365" t="s">
        <v>164</v>
      </c>
      <c s="1365" t="s">
        <v>165</v>
      </c>
      <c s="1365" t="s">
        <v>166</v>
      </c>
      <c s="2261"/>
      <c s="2261"/>
      <c s="2261"/>
      <c s="2261"/>
      <c s="2288"/>
      <c s="2288"/>
      <c s="2258" t="str">
        <f>J48&amp;".1"</f>
        <v>....1.1.1</v>
      </c>
      <c s="1366" t="s">
        <v>409</v>
      </c>
      <c r="P49" s="2259"/>
      <c s="2259"/>
      <c s="359">
        <v>1</v>
      </c>
      <c s="1338" t="str">
        <f>$K49</f>
        <v>....1.1.1</v>
      </c>
      <c s="1349"/>
      <c s="302"/>
      <c s="753"/>
      <c s="327"/>
      <c s="753"/>
      <c s="1259"/>
      <c s="2267"/>
      <c s="2109" t="s">
        <v>65</v>
      </c>
      <c s="2267"/>
      <c s="2109" t="s">
        <v>65</v>
      </c>
      <c s="753"/>
      <c s="327"/>
      <c s="753"/>
      <c s="1259"/>
      <c s="2267"/>
      <c s="2109" t="s">
        <v>65</v>
      </c>
      <c s="2289"/>
      <c s="2109" t="s">
        <v>65</v>
      </c>
      <c s="1350"/>
      <c s="2255" t="s">
        <v>410</v>
      </c>
      <c s="513">
        <f>STRCHECKDATE(V50:AL50)</f>
      </c>
      <c s="502"/>
      <c s="502" t="str">
        <f>IF(T49="","",T49)</f>
        <v/>
      </c>
      <c s="502"/>
      <c s="502"/>
      <c s="1157">
        <v>21</v>
      </c>
    </row>
    <row r="50" spans="1:45" ht="1.05" customHeight="1">
      <c r="A50" s="1365" t="s">
        <v>163</v>
      </c>
      <c s="1365" t="s">
        <v>164</v>
      </c>
      <c s="1365" t="s">
        <v>165</v>
      </c>
      <c s="1365" t="s">
        <v>166</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163</v>
      </c>
      <c s="1365" t="s">
        <v>164</v>
      </c>
      <c s="1365" t="s">
        <v>165</v>
      </c>
      <c s="1365" t="s">
        <v>166</v>
      </c>
      <c s="2261"/>
      <c s="2261"/>
      <c s="2261"/>
      <c s="2261"/>
      <c s="2288"/>
      <c s="2258"/>
      <c s="1365"/>
      <c s="1366"/>
      <c r="P51" s="2259"/>
      <c s="2259"/>
      <c s="358"/>
      <c s="1280"/>
      <c s="290"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163</v>
      </c>
      <c s="1365" t="s">
        <v>164</v>
      </c>
      <c s="1365" t="s">
        <v>165</v>
      </c>
      <c s="1365" t="s">
        <v>166</v>
      </c>
      <c s="2261"/>
      <c s="2261"/>
      <c s="2261"/>
      <c s="2261"/>
      <c s="2258"/>
      <c s="1365"/>
      <c s="1365"/>
      <c s="1366"/>
      <c r="P52" s="2259"/>
      <c s="1333"/>
      <c s="358"/>
      <c s="1280"/>
      <c s="289"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163</v>
      </c>
      <c s="1365" t="s">
        <v>164</v>
      </c>
      <c s="1365" t="s">
        <v>165</v>
      </c>
      <c s="1365" t="s">
        <v>166</v>
      </c>
      <c s="2261"/>
      <c s="2261"/>
      <c s="2261"/>
      <c s="2260"/>
      <c s="1365"/>
      <c s="1365"/>
      <c s="1365"/>
      <c s="1366"/>
      <c s="1367"/>
      <c s="1367"/>
      <c s="539"/>
      <c s="362"/>
      <c s="377"/>
      <c s="357"/>
      <c s="1280"/>
      <c s="367" t="s">
        <v>413</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163</v>
      </c>
      <c s="1345" t="s">
        <v>164</v>
      </c>
      <c s="1345" t="s">
        <v>165</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163</v>
      </c>
      <c s="1345" t="s">
        <v>164</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163</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65.25" customHeight="1">
      <c r="O60" s="539"/>
      <c r="T60" s="2287"/>
      <c s="2287"/>
      <c s="2287"/>
      <c s="2287"/>
      <c s="2287"/>
      <c s="2287"/>
      <c s="2287"/>
      <c s="2287"/>
      <c s="2287"/>
      <c s="2287"/>
      <c s="2287"/>
      <c s="2287"/>
      <c s="2287"/>
      <c s="2287"/>
      <c s="2287"/>
      <c s="2287"/>
      <c s="2287"/>
      <c s="2287"/>
      <c s="2287"/>
      <c s="2287"/>
      <c r="AS60" s="1157">
        <v>62</v>
      </c>
    </row>
    <row r="61" spans="15:45" ht="14.7" customHeight="1">
      <c r="O61" s="539"/>
      <c r="AS61" s="1157">
        <v>14</v>
      </c>
    </row>
    <row r="62" spans="15:45" ht="18.75" customHeight="1">
      <c r="O62" s="539"/>
      <c r="S62" s="1255"/>
      <c s="2287"/>
      <c s="2287"/>
      <c s="2287"/>
      <c s="2287"/>
      <c s="2287"/>
      <c s="2287"/>
      <c s="2287"/>
      <c s="2287"/>
      <c s="2287"/>
      <c s="2287"/>
      <c s="2287"/>
      <c s="2287"/>
      <c s="2287"/>
      <c s="2287"/>
      <c s="2287"/>
      <c s="2287"/>
      <c s="2287"/>
      <c s="2287"/>
      <c s="2287"/>
      <c s="2287"/>
      <c r="AS62" s="1157">
        <v>18</v>
      </c>
    </row>
    <row r="63" spans="15:45" ht="18.75" customHeight="1">
      <c r="O63" s="539"/>
      <c r="T63" s="2287"/>
      <c s="2287"/>
      <c s="2287"/>
      <c s="2287"/>
      <c s="2287"/>
      <c s="2287"/>
      <c s="2287"/>
      <c s="2287"/>
      <c s="2287"/>
      <c s="2287"/>
      <c s="2287"/>
      <c s="2287"/>
      <c s="2287"/>
      <c s="2287"/>
      <c s="2287"/>
      <c s="2287"/>
      <c s="2287"/>
      <c s="2287"/>
      <c s="2287"/>
      <c s="2287"/>
      <c r="AS63" s="1157">
        <v>18</v>
      </c>
    </row>
    <row r="64" spans="15:45" ht="29.25" customHeight="1">
      <c r="O64" s="539"/>
      <c r="S64" s="1255"/>
      <c s="2287"/>
      <c s="2287"/>
      <c s="2287"/>
      <c s="2287"/>
      <c s="2287"/>
      <c s="2287"/>
      <c s="2287"/>
      <c s="2287"/>
      <c s="2287"/>
      <c s="2287"/>
      <c s="2287"/>
      <c s="2287"/>
      <c s="2287"/>
      <c s="2287"/>
      <c s="2287"/>
      <c s="2287"/>
      <c s="2287"/>
      <c s="2287"/>
      <c s="2287"/>
      <c s="2287"/>
      <c r="AS64" s="1157">
        <v>28</v>
      </c>
    </row>
    <row r="65" spans="1:45" ht="22.5" customHeight="1" hidden="1">
      <c r="A65" s="1162" t="s">
        <v>81</v>
      </c>
      <c s="1162">
        <v>0</v>
      </c>
      <c s="1162">
        <v>0</v>
      </c>
      <c s="1162">
        <v>0</v>
      </c>
      <c s="1162">
        <v>0</v>
      </c>
      <c s="1162">
        <v>0</v>
      </c>
      <c s="1162">
        <v>0</v>
      </c>
      <c s="1162">
        <v>0</v>
      </c>
      <c s="1162">
        <v>0</v>
      </c>
      <c s="1162">
        <v>0</v>
      </c>
      <c s="1162">
        <v>0</v>
      </c>
      <c s="1331">
        <v>0</v>
      </c>
      <c s="1364">
        <v>0</v>
      </c>
      <c s="1364">
        <v>0</v>
      </c>
      <c s="1364">
        <v>0</v>
      </c>
      <c s="1330">
        <v>3</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0CC69F1-0B7D-0AFA-6612-0.330EAC3A}"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1" width="11.4285714285714" style="1637" hidden="1" customWidth="1"/>
    <col min="12" max="12" width="19.1428571428571" style="2127" hidden="1" customWidth="1"/>
    <col min="13" max="14" width="12.2857142857143" style="2399" hidden="1" customWidth="1"/>
    <col min="15" max="15" width="23.4285714285714" style="2399"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45:45" ht="22.5" customHeight="1" hidden="1">
      <c r="AS1" s="1633" t="s">
        <v>14</v>
      </c>
    </row>
    <row r="2" spans="1:45" ht="21" customHeight="1" hidden="1">
      <c r="A2" s="1269"/>
      <c s="1269"/>
      <c s="1269"/>
      <c s="1269"/>
      <c s="2291">
        <v>1</v>
      </c>
      <c s="1269"/>
      <c s="1269"/>
      <c s="1269"/>
      <c s="1269"/>
      <c s="1269"/>
      <c s="1269"/>
      <c s="1312"/>
      <c s="1612"/>
      <c s="1612"/>
      <c s="1612"/>
      <c s="1592"/>
      <c s="362"/>
      <c s="357"/>
      <c s="1960">
        <f>INDEX(PT_DIFFERENTIATION_NUM_NTAR,MATCH(A2,PT_DIFFERENTIATION_NTAR_ID,0))</f>
      </c>
      <c s="1527" t="s">
        <v>125</v>
      </c>
      <c s="302"/>
      <c s="2244"/>
      <c s="2245"/>
      <c s="2245"/>
      <c s="2245"/>
      <c s="2245"/>
      <c s="2245"/>
      <c s="2245"/>
      <c s="2246"/>
      <c s="2244">
        <f>INDEX(PT_DIFFERENTIATION_NTAR,MATCH(A2,PT_DIFFERENTIATION_NTAR_ID,0))</f>
      </c>
      <c s="2245"/>
      <c s="2245"/>
      <c s="2245"/>
      <c s="2245"/>
      <c s="2245"/>
      <c s="2245"/>
      <c s="2245"/>
      <c s="2246"/>
      <c s="1260" t="s">
        <v>396</v>
      </c>
      <c r="AO2" s="1626"/>
      <c s="1626" t="str">
        <f>IF(T2="","",T2)</f>
        <v>Наименование тарифа</v>
      </c>
      <c s="1626"/>
      <c s="1626"/>
      <c s="1633">
        <v>0</v>
      </c>
    </row>
    <row r="3" spans="1:45" ht="21" customHeight="1" hidden="1">
      <c r="A3" s="1269"/>
      <c s="1269"/>
      <c s="1269"/>
      <c s="1269"/>
      <c s="2292"/>
      <c s="2291">
        <v>1</v>
      </c>
      <c s="1269"/>
      <c s="1269"/>
      <c s="1269"/>
      <c s="1269"/>
      <c s="1269"/>
      <c s="1312"/>
      <c s="1612"/>
      <c s="1612"/>
      <c s="1612"/>
      <c s="1942"/>
      <c s="354"/>
      <c s="355"/>
      <c s="1960">
        <f>INDEX(PT_DIFFERENTIATION_NUM_TER,MATCH(B3,PT_DIFFERENTIATION_TER_ID,0))</f>
      </c>
      <c s="1524" t="s">
        <v>397</v>
      </c>
      <c s="302"/>
      <c s="2244"/>
      <c s="2245"/>
      <c s="2245"/>
      <c s="2245"/>
      <c s="2245"/>
      <c s="2245"/>
      <c s="2245"/>
      <c s="2246"/>
      <c s="2244">
        <f>INDEX(PT_DIFFERENTIATION_TER,MATCH(B3,PT_DIFFERENTIATION_TER_ID,0))</f>
      </c>
      <c s="2245"/>
      <c s="2245"/>
      <c s="2245"/>
      <c s="2245"/>
      <c s="2245"/>
      <c s="2245"/>
      <c s="2245"/>
      <c s="2246"/>
      <c s="1260" t="s">
        <v>398</v>
      </c>
      <c r="AO3" s="1626"/>
      <c s="1626" t="str">
        <f>IF(T3="","",T3)</f>
        <v>Территория действия тарифа</v>
      </c>
      <c s="1626"/>
      <c s="1626"/>
      <c s="1633">
        <v>0</v>
      </c>
    </row>
    <row r="4" spans="1:45" ht="23.25" customHeight="1" hidden="1">
      <c r="A4" s="1269"/>
      <c s="1269"/>
      <c s="1269"/>
      <c s="1269"/>
      <c s="2292"/>
      <c s="2292"/>
      <c s="2291">
        <v>1</v>
      </c>
      <c s="1269"/>
      <c s="1269"/>
      <c s="1269"/>
      <c s="1269"/>
      <c s="1312"/>
      <c s="1612"/>
      <c s="1612"/>
      <c s="1612"/>
      <c s="356"/>
      <c s="354"/>
      <c s="355"/>
      <c s="1960">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1626"/>
      <c s="1626" t="str">
        <f>IF(T4="","",T4)</f>
        <v>Наименование системы теплоснабжения</v>
      </c>
      <c s="1626"/>
      <c s="1626"/>
      <c s="1633">
        <v>0</v>
      </c>
    </row>
    <row r="5" spans="1:45" ht="21" customHeight="1" hidden="1">
      <c r="A5" s="1269"/>
      <c s="1269"/>
      <c s="1269"/>
      <c s="1269"/>
      <c s="2292"/>
      <c s="2292"/>
      <c s="2292"/>
      <c s="2291">
        <v>1</v>
      </c>
      <c s="1269"/>
      <c s="1269"/>
      <c s="1269"/>
      <c s="1312"/>
      <c s="1612"/>
      <c s="1612"/>
      <c s="1612"/>
      <c s="356"/>
      <c s="354"/>
      <c s="355"/>
      <c s="1960">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1626"/>
      <c s="1626" t="str">
        <f>IF(T5="","",T5)</f>
        <v>Источник тепловой энергии</v>
      </c>
      <c s="1626"/>
      <c s="1626"/>
      <c s="1633">
        <v>0</v>
      </c>
    </row>
    <row r="6" spans="1:45" ht="47.25" customHeight="1" hidden="1">
      <c r="A6" s="1269"/>
      <c s="1269"/>
      <c s="1269"/>
      <c s="1269"/>
      <c s="2292"/>
      <c s="2292"/>
      <c s="2292"/>
      <c s="2292"/>
      <c s="2129">
        <f>S5&amp;".1"</f>
      </c>
      <c s="1269"/>
      <c s="1269"/>
      <c s="1312" t="s">
        <v>403</v>
      </c>
      <c s="1637"/>
      <c r="P6" s="2259">
        <v>1</v>
      </c>
      <c s="1956"/>
      <c s="358"/>
      <c s="1960">
        <f>$I6</f>
      </c>
      <c s="287" t="s">
        <v>404</v>
      </c>
      <c s="302"/>
      <c s="2247"/>
      <c s="2248"/>
      <c s="2248"/>
      <c s="2248"/>
      <c s="2248"/>
      <c s="2248"/>
      <c s="2248"/>
      <c s="2249"/>
      <c s="2247"/>
      <c s="2248"/>
      <c s="2248"/>
      <c s="2248"/>
      <c s="2248"/>
      <c s="2248"/>
      <c s="2248"/>
      <c s="2248"/>
      <c s="2249"/>
      <c s="1260" t="s">
        <v>405</v>
      </c>
      <c r="AO6" s="1626"/>
      <c s="1626" t="str">
        <f>IF(T6="","",T6)</f>
        <v>Схема подключения теплопотребляющей установки к коллектору источника тепловой энергии</v>
      </c>
      <c s="1626"/>
      <c s="1626"/>
      <c s="1633">
        <v>0</v>
      </c>
    </row>
    <row r="7" spans="1:45" ht="21" customHeight="1" hidden="1">
      <c r="A7" s="1269"/>
      <c s="1269"/>
      <c s="1269"/>
      <c s="1269"/>
      <c s="2292"/>
      <c s="2292"/>
      <c s="2292"/>
      <c s="2292"/>
      <c s="2103"/>
      <c s="2129">
        <f>I6&amp;".1"</f>
      </c>
      <c s="1269"/>
      <c s="1312" t="s">
        <v>406</v>
      </c>
      <c s="1637"/>
      <c s="1633"/>
      <c r="P7" s="2259"/>
      <c s="2259">
        <v>1</v>
      </c>
      <c s="359"/>
      <c s="1960">
        <f>$J7</f>
      </c>
      <c s="288" t="s">
        <v>407</v>
      </c>
      <c s="302"/>
      <c s="2247"/>
      <c s="2248"/>
      <c s="2248"/>
      <c s="2248"/>
      <c s="2248"/>
      <c s="2248"/>
      <c s="2248"/>
      <c s="2249"/>
      <c s="2247"/>
      <c s="2248"/>
      <c s="2248"/>
      <c s="2248"/>
      <c s="2248"/>
      <c s="2248"/>
      <c s="2248"/>
      <c s="2248"/>
      <c s="2249"/>
      <c s="1260" t="s">
        <v>408</v>
      </c>
      <c r="AO7" s="1626"/>
      <c s="1626" t="str">
        <f>IF(T7="","",T7)</f>
        <v>Группа потребителей</v>
      </c>
      <c s="1626"/>
      <c s="1626"/>
      <c s="1633">
        <v>0</v>
      </c>
    </row>
    <row r="8" spans="1:45" ht="21" customHeight="1" hidden="1">
      <c r="A8" s="1269"/>
      <c s="1269"/>
      <c s="1269"/>
      <c s="1269"/>
      <c s="2292"/>
      <c s="2292"/>
      <c s="2292"/>
      <c s="2292"/>
      <c s="2103"/>
      <c s="2103"/>
      <c s="2129">
        <f>J7&amp;".1"</f>
      </c>
      <c s="1312" t="s">
        <v>409</v>
      </c>
      <c s="1637"/>
      <c s="1633"/>
      <c s="1633"/>
      <c s="2259"/>
      <c s="2259"/>
      <c s="359">
        <v>1</v>
      </c>
      <c s="1960">
        <f>$K8</f>
      </c>
      <c s="1349"/>
      <c s="302"/>
      <c s="753"/>
      <c s="327"/>
      <c s="753"/>
      <c s="1259"/>
      <c s="2267"/>
      <c s="2109" t="s">
        <v>65</v>
      </c>
      <c s="2267"/>
      <c s="2109" t="s">
        <v>65</v>
      </c>
      <c s="753"/>
      <c s="327"/>
      <c s="753"/>
      <c s="1259"/>
      <c s="2267"/>
      <c s="2109" t="s">
        <v>65</v>
      </c>
      <c s="2267"/>
      <c s="2109" t="s">
        <v>65</v>
      </c>
      <c s="327"/>
      <c s="2255" t="s">
        <v>410</v>
      </c>
      <c s="1638">
        <f>STRCHECKDATE(V9:AL9)</f>
      </c>
      <c s="1626"/>
      <c s="1626" t="str">
        <f>IF(T8="","",T8)</f>
        <v/>
      </c>
      <c s="1626"/>
      <c s="1626"/>
      <c s="1633">
        <v>0</v>
      </c>
    </row>
    <row r="9" spans="1:45" ht="0.75" customHeight="1" hidden="1">
      <c r="A9" s="1269"/>
      <c s="1269"/>
      <c s="1269"/>
      <c s="1269"/>
      <c s="2292"/>
      <c s="2292"/>
      <c s="2292"/>
      <c s="2292"/>
      <c s="2103"/>
      <c s="2103"/>
      <c s="2129"/>
      <c s="1312"/>
      <c s="1637"/>
      <c s="1633"/>
      <c s="1633"/>
      <c s="2259"/>
      <c s="2259"/>
      <c s="359"/>
      <c s="1969"/>
      <c s="302"/>
      <c s="302"/>
      <c s="327"/>
      <c s="327"/>
      <c s="327"/>
      <c s="330" t="str">
        <f>Z8&amp;"-"&amp;AB8</f>
        <v>-</v>
      </c>
      <c s="2268"/>
      <c s="2109"/>
      <c s="2268"/>
      <c s="2109"/>
      <c s="327"/>
      <c s="327"/>
      <c s="327"/>
      <c s="330" t="str">
        <f>AH8&amp;"-"&amp;AJ8</f>
        <v>-</v>
      </c>
      <c s="2268"/>
      <c s="2109"/>
      <c s="2268"/>
      <c s="2109"/>
      <c s="327"/>
      <c s="2256"/>
      <c r="AO9" s="1626"/>
      <c s="1626" t="str">
        <f>IF(T9="","",T9)</f>
        <v/>
      </c>
      <c s="1626"/>
      <c s="1626"/>
      <c s="1633">
        <v>0</v>
      </c>
    </row>
    <row r="10" spans="1:45" ht="15" customHeight="1" hidden="1">
      <c r="A10" s="1269"/>
      <c s="1269"/>
      <c s="1269"/>
      <c s="1269"/>
      <c s="2292"/>
      <c s="2292"/>
      <c s="2292"/>
      <c s="2292"/>
      <c s="2103"/>
      <c s="2129"/>
      <c s="1269"/>
      <c s="1312"/>
      <c s="1637"/>
      <c s="1633"/>
      <c r="P10" s="2259"/>
      <c s="2259"/>
      <c s="358"/>
      <c s="1280"/>
      <c s="290" t="s">
        <v>411</v>
      </c>
      <c s="602"/>
      <c s="602"/>
      <c s="602"/>
      <c s="602"/>
      <c s="602"/>
      <c s="602"/>
      <c s="602"/>
      <c s="602"/>
      <c s="602"/>
      <c s="602"/>
      <c s="602"/>
      <c s="602"/>
      <c s="602"/>
      <c s="602"/>
      <c s="602"/>
      <c s="602"/>
      <c s="602"/>
      <c s="326"/>
      <c s="2257"/>
      <c r="AO10" s="1626"/>
      <c s="1626" t="str">
        <f>IF(T10="","",T10)</f>
        <v>Добавить вид теплоносителя (параметры теплоносителя)</v>
      </c>
      <c s="1626"/>
      <c s="1626"/>
      <c s="1633">
        <v>0</v>
      </c>
    </row>
    <row r="11" spans="1:45" ht="15" customHeight="1" hidden="1">
      <c r="A11" s="1269"/>
      <c s="1269"/>
      <c s="1269"/>
      <c s="1269"/>
      <c s="2292"/>
      <c s="2292"/>
      <c s="2292"/>
      <c s="2292"/>
      <c s="2129"/>
      <c s="1269"/>
      <c s="1269"/>
      <c s="1312"/>
      <c s="1637"/>
      <c r="P11" s="2259"/>
      <c s="1956"/>
      <c s="358"/>
      <c s="1280"/>
      <c s="289" t="s">
        <v>412</v>
      </c>
      <c s="602"/>
      <c s="602"/>
      <c s="602"/>
      <c s="602"/>
      <c s="602"/>
      <c s="602"/>
      <c s="602"/>
      <c s="602"/>
      <c s="368"/>
      <c s="602"/>
      <c s="602"/>
      <c s="602"/>
      <c s="602"/>
      <c s="602"/>
      <c s="602"/>
      <c s="602"/>
      <c s="368"/>
      <c s="602"/>
      <c s="305"/>
      <c r="AO11" s="1626"/>
      <c s="1626" t="str">
        <f>IF(T11="","",T11)</f>
        <v>Добавить группу потребителей</v>
      </c>
      <c s="1626"/>
      <c s="1626"/>
      <c s="1633">
        <v>0</v>
      </c>
    </row>
    <row r="12" spans="1:45" ht="14.25" customHeight="1" hidden="1">
      <c r="A12" s="1269"/>
      <c s="1269"/>
      <c s="1269"/>
      <c s="1269"/>
      <c s="2292"/>
      <c s="2292"/>
      <c s="2292"/>
      <c s="2291"/>
      <c s="1269"/>
      <c s="1269"/>
      <c s="1269"/>
      <c s="1312"/>
      <c s="1612"/>
      <c s="1612"/>
      <c s="1637"/>
      <c s="362"/>
      <c s="377"/>
      <c s="357"/>
      <c s="1280"/>
      <c s="367" t="s">
        <v>413</v>
      </c>
      <c s="602"/>
      <c s="602"/>
      <c s="602"/>
      <c s="602"/>
      <c s="602"/>
      <c s="602"/>
      <c s="602"/>
      <c s="602"/>
      <c s="368"/>
      <c s="602"/>
      <c s="602"/>
      <c s="602"/>
      <c s="602"/>
      <c s="602"/>
      <c s="602"/>
      <c s="602"/>
      <c s="368"/>
      <c s="602"/>
      <c s="305"/>
      <c r="AO12" s="1626"/>
      <c s="1626" t="str">
        <f>IF(T12="","",T12)</f>
        <v>Добавить схему подключения</v>
      </c>
      <c s="1626"/>
      <c s="1626"/>
      <c s="1633">
        <v>0</v>
      </c>
    </row>
    <row r="13" spans="1:45" s="1644" customFormat="1" ht="0.75" customHeight="1" hidden="1">
      <c r="A13" s="1376"/>
      <c s="1376"/>
      <c s="1376"/>
      <c s="1376"/>
      <c s="2292"/>
      <c s="2292"/>
      <c s="2291"/>
      <c s="1376"/>
      <c s="1376"/>
      <c s="1376"/>
      <c s="1376"/>
      <c s="1379"/>
      <c s="1380"/>
      <c s="1380"/>
      <c s="353"/>
      <c s="1318"/>
      <c s="1319"/>
      <c s="1318"/>
      <c s="1320"/>
      <c s="1321" t="s">
        <v>414</v>
      </c>
      <c s="1322"/>
      <c s="1322"/>
      <c s="1322"/>
      <c s="1322"/>
      <c s="1322"/>
      <c s="1322"/>
      <c s="1322"/>
      <c s="1322"/>
      <c s="1322"/>
      <c s="1322"/>
      <c s="1322"/>
      <c s="1322"/>
      <c s="1322"/>
      <c s="1322"/>
      <c s="1322"/>
      <c s="1322"/>
      <c s="1322"/>
      <c s="1322"/>
      <c s="1322"/>
      <c r="AO13" s="1253"/>
      <c s="1253" t="str">
        <f>IF(T13="","",T13)</f>
        <v>Добавить источник для дифференциации</v>
      </c>
      <c s="1253"/>
      <c s="1253"/>
      <c s="1644">
        <v>0</v>
      </c>
    </row>
    <row r="14" spans="1:45" s="1644" customFormat="1" ht="0.75" customHeight="1" hidden="1">
      <c r="A14" s="1376"/>
      <c s="1376"/>
      <c s="1376"/>
      <c s="1376"/>
      <c s="2292"/>
      <c s="2291"/>
      <c s="1376"/>
      <c s="1376"/>
      <c s="1376"/>
      <c s="1376"/>
      <c s="1376"/>
      <c s="1379"/>
      <c s="1381"/>
      <c s="1381"/>
      <c s="353"/>
      <c s="1318"/>
      <c s="1319"/>
      <c s="1318"/>
      <c s="1324"/>
      <c s="1325" t="s">
        <v>415</v>
      </c>
      <c s="1326"/>
      <c s="1326"/>
      <c s="1326"/>
      <c s="1326"/>
      <c s="1326"/>
      <c s="1326"/>
      <c s="1326"/>
      <c s="1326"/>
      <c s="1326"/>
      <c s="1326"/>
      <c s="1326"/>
      <c s="1326"/>
      <c s="1326"/>
      <c s="1326"/>
      <c s="1326"/>
      <c s="1326"/>
      <c s="1326"/>
      <c s="1326"/>
      <c s="1326"/>
      <c r="AO14" s="1253"/>
      <c s="1253" t="str">
        <f>IF(T14="","",T14)</f>
        <v>Добавить централизованную систему для дифференциации</v>
      </c>
      <c s="1253"/>
      <c s="1253"/>
      <c s="1644">
        <v>0</v>
      </c>
    </row>
    <row r="15" spans="1:45" s="1644" customFormat="1" ht="0.75" customHeight="1" hidden="1">
      <c r="A15" s="1376"/>
      <c s="1376"/>
      <c s="1376"/>
      <c s="1376"/>
      <c s="2291"/>
      <c s="1376"/>
      <c s="1376"/>
      <c s="1376"/>
      <c s="1376"/>
      <c s="1376"/>
      <c s="1376"/>
      <c s="1379"/>
      <c s="1381"/>
      <c s="1381"/>
      <c s="353"/>
      <c s="1318"/>
      <c s="1319"/>
      <c s="1318"/>
      <c s="1324"/>
      <c s="1327" t="s">
        <v>416</v>
      </c>
      <c s="1326"/>
      <c s="1326"/>
      <c s="1326"/>
      <c s="1326"/>
      <c s="1326"/>
      <c s="1326"/>
      <c s="1326"/>
      <c s="1326"/>
      <c s="1326"/>
      <c s="1326"/>
      <c s="1326"/>
      <c s="1326"/>
      <c s="1326"/>
      <c s="1326"/>
      <c s="1326"/>
      <c s="1326"/>
      <c s="1326"/>
      <c s="1326"/>
      <c s="1326"/>
      <c r="AO15" s="1253"/>
      <c s="1253" t="str">
        <f>IF(T15="","",T15)</f>
        <v>Добавить территорию для дифференциации</v>
      </c>
      <c s="1253"/>
      <c s="1253"/>
      <c s="1644">
        <v>0</v>
      </c>
    </row>
    <row r="16" spans="45:45" ht="14.25" customHeight="1" hidden="1">
      <c r="AS16" s="1633">
        <v>0</v>
      </c>
    </row>
    <row r="17" spans="30:45" ht="14.25" customHeight="1" hidden="1">
      <c r="AD17" s="1362"/>
      <c s="1362"/>
      <c s="1362"/>
      <c s="1363"/>
      <c s="2269"/>
      <c s="2270" t="s">
        <v>65</v>
      </c>
      <c s="2269"/>
      <c s="2270" t="s">
        <v>65</v>
      </c>
      <c r="AS17" s="1633">
        <v>0</v>
      </c>
    </row>
    <row r="18" spans="30:45" ht="14.25" customHeight="1" hidden="1">
      <c r="AD18" s="1362"/>
      <c s="1362"/>
      <c s="1362"/>
      <c s="330" t="str">
        <f>AH17&amp;"-"&amp;AJ17</f>
        <v>-</v>
      </c>
      <c s="2270"/>
      <c s="2270"/>
      <c s="2270"/>
      <c s="2270"/>
      <c r="AS18" s="1633">
        <v>0</v>
      </c>
    </row>
    <row r="19" spans="45:45" ht="14.25" customHeight="1" hidden="1">
      <c r="AS19" s="1633">
        <v>0</v>
      </c>
    </row>
    <row r="20" spans="1:45" s="1368" customFormat="1" ht="14.25" customHeight="1" hidden="1">
      <c r="A20" s="1633"/>
      <c s="1633"/>
      <c s="1633"/>
      <c s="1633"/>
      <c s="1633"/>
      <c s="1633"/>
      <c s="1633"/>
      <c s="1633"/>
      <c s="1633"/>
      <c s="1633"/>
      <c s="1633"/>
      <c s="1941"/>
      <c s="1967"/>
      <c s="1967"/>
      <c s="1347" t="s">
        <v>417</v>
      </c>
      <c s="1364"/>
      <c s="1373"/>
      <c s="1373"/>
      <c s="731"/>
      <c r="Z20" s="1369"/>
      <c r="AB20" s="1369"/>
      <c r="AH20" s="1369"/>
      <c r="AJ20" s="1369"/>
      <c r="AN20" s="1638"/>
      <c s="1638"/>
      <c s="1638"/>
      <c s="1638"/>
      <c s="1638"/>
      <c s="1368">
        <v>0</v>
      </c>
    </row>
    <row r="21" spans="1:45" s="1368" customFormat="1" ht="14.25" customHeight="1" hidden="1">
      <c r="A21" s="1633"/>
      <c s="1633"/>
      <c s="1633"/>
      <c s="1633"/>
      <c s="1633"/>
      <c s="1633"/>
      <c s="1633"/>
      <c s="1633"/>
      <c s="1633"/>
      <c s="1633"/>
      <c s="1633"/>
      <c s="1941"/>
      <c s="1967"/>
      <c s="1967"/>
      <c s="1967"/>
      <c s="1364"/>
      <c s="1373"/>
      <c s="1373"/>
      <c s="731"/>
      <c r="AN21" s="1638"/>
      <c s="1638"/>
      <c s="1638"/>
      <c s="1638"/>
      <c s="1638"/>
      <c s="1368">
        <v>0</v>
      </c>
    </row>
    <row r="22" spans="1:45" s="1368" customFormat="1" ht="14.25" customHeight="1" hidden="1">
      <c r="A22" s="1633"/>
      <c s="1633"/>
      <c s="1633"/>
      <c s="1633"/>
      <c s="1633"/>
      <c s="1633"/>
      <c s="1633"/>
      <c s="1633"/>
      <c s="1633"/>
      <c s="1633"/>
      <c s="1633"/>
      <c s="1941"/>
      <c s="1967"/>
      <c s="1967"/>
      <c s="1312" t="s">
        <v>418</v>
      </c>
      <c s="1364"/>
      <c s="1373"/>
      <c s="1373"/>
      <c s="731"/>
      <c s="1368" t="s">
        <v>419</v>
      </c>
      <c r="AA22" s="597" t="s">
        <v>420</v>
      </c>
      <c r="AC22" s="597" t="s">
        <v>421</v>
      </c>
      <c s="1368" t="s">
        <v>419</v>
      </c>
      <c r="AI22" s="597" t="s">
        <v>422</v>
      </c>
      <c r="AK22" s="597" t="s">
        <v>421</v>
      </c>
      <c r="AN22" s="1638"/>
      <c s="1638"/>
      <c s="1638"/>
      <c s="1638"/>
      <c s="1638"/>
      <c s="1368">
        <v>0</v>
      </c>
    </row>
    <row r="23" spans="15:45" ht="14.25" customHeight="1" hidden="1">
      <c r="O23" s="1312"/>
      <c r="AS23" s="1633">
        <v>0</v>
      </c>
    </row>
    <row r="24" spans="15:45" ht="14.25" customHeight="1" hidden="1">
      <c r="O24" s="1312"/>
      <c r="AS24" s="1633">
        <v>0</v>
      </c>
    </row>
    <row r="25" spans="17:45" ht="14.7" customHeight="1">
      <c r="Q25" s="378"/>
      <c s="378"/>
      <c s="1277"/>
      <c s="459"/>
      <c s="459"/>
      <c s="1637"/>
      <c s="1637"/>
      <c s="1637"/>
      <c s="1637"/>
      <c s="1637"/>
      <c s="1637"/>
      <c s="1637"/>
      <c s="1637"/>
      <c s="1637"/>
      <c s="1637"/>
      <c s="1637"/>
      <c s="1637"/>
      <c s="1637"/>
      <c s="1637"/>
      <c s="1637"/>
      <c s="1637"/>
      <c r="AS25" s="1633">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633">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633">
        <v>14</v>
      </c>
    </row>
    <row r="28" spans="17:45" ht="14.25" customHeight="1" hidden="1">
      <c r="Q28" s="378"/>
      <c s="378"/>
      <c s="1277"/>
      <c s="459"/>
      <c s="459"/>
      <c s="324"/>
      <c s="324"/>
      <c s="324"/>
      <c s="324"/>
      <c s="324"/>
      <c s="324"/>
      <c s="324"/>
      <c s="324"/>
      <c s="324"/>
      <c s="324"/>
      <c s="324"/>
      <c s="324"/>
      <c s="324"/>
      <c s="324"/>
      <c s="324"/>
      <c s="324"/>
      <c s="1637"/>
      <c r="AS28" s="1633">
        <v>0</v>
      </c>
    </row>
    <row r="29" spans="1:45" s="1855" customFormat="1" ht="25.5" customHeight="1" hidden="1">
      <c r="A29" s="1250"/>
      <c s="1250"/>
      <c s="1250"/>
      <c s="1250"/>
      <c s="1250"/>
      <c s="1250"/>
      <c s="1250"/>
      <c s="1250"/>
      <c s="1250"/>
      <c s="1250"/>
      <c s="1250"/>
      <c s="1382"/>
      <c s="1250"/>
      <c s="1250"/>
      <c s="1250"/>
      <c r="S29" s="2252" t="s">
        <v>42</v>
      </c>
      <c s="2252"/>
      <c s="1374"/>
      <c s="2253" t="str">
        <f>IF(TITLE_NAME_OR_PR_CHANGE="",IF(TITLE_NAME_OR_PR="","",TITLE_NAME_OR_PR),TITLE_NAME_OR_PR_CHANGE)</f>
        <v/>
      </c>
      <c s="2253"/>
      <c s="2253"/>
      <c s="2253"/>
      <c s="2253"/>
      <c s="2253"/>
      <c s="2253"/>
      <c s="1637"/>
      <c s="2253" t="str">
        <f>IF(TITLE_NAME_OR_PR_CHANGE="",IF(TITLE_NAME_OR_PR="","",TITLE_NAME_OR_PR),TITLE_NAME_OR_PR_CHANGE)</f>
        <v/>
      </c>
      <c s="2253"/>
      <c s="2253"/>
      <c s="2253"/>
      <c s="2253"/>
      <c s="2253"/>
      <c s="2253"/>
      <c s="1637"/>
      <c s="1637"/>
      <c s="282"/>
      <c s="370"/>
      <c s="370"/>
      <c s="370"/>
      <c s="370"/>
      <c s="370"/>
      <c s="420">
        <v>0</v>
      </c>
    </row>
    <row r="30" spans="1:45" s="1855" customFormat="1" ht="18.75" customHeight="1" hidden="1">
      <c r="A30" s="1250"/>
      <c s="1250"/>
      <c s="1250"/>
      <c s="1250"/>
      <c s="1250"/>
      <c s="1250"/>
      <c s="1250"/>
      <c s="1250"/>
      <c s="1250"/>
      <c s="1250"/>
      <c s="1250"/>
      <c s="1382"/>
      <c s="1250"/>
      <c s="1250"/>
      <c s="1250"/>
      <c r="S30" s="2252" t="s">
        <v>423</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1" spans="1:45" s="1855" customFormat="1" ht="18.75" customHeight="1" hidden="1">
      <c r="A31" s="1250"/>
      <c s="1250"/>
      <c s="1250"/>
      <c s="1250"/>
      <c s="1250"/>
      <c s="1250"/>
      <c s="1250"/>
      <c s="1250"/>
      <c s="1250"/>
      <c s="1250"/>
      <c s="1250"/>
      <c s="1382"/>
      <c s="1250"/>
      <c s="1250"/>
      <c s="1250"/>
      <c r="S31" s="2252" t="s">
        <v>424</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2" spans="1:45" s="1855" customFormat="1" ht="18.75" customHeight="1" hidden="1">
      <c r="A32" s="1250"/>
      <c s="1250"/>
      <c s="1250"/>
      <c s="1250"/>
      <c s="1250"/>
      <c s="1250"/>
      <c s="1250"/>
      <c s="1250"/>
      <c s="1250"/>
      <c s="1250"/>
      <c s="1250"/>
      <c s="1382"/>
      <c s="1250"/>
      <c s="1250"/>
      <c s="1250"/>
      <c r="S32" s="2252" t="s">
        <v>43</v>
      </c>
      <c s="2252"/>
      <c s="1374"/>
      <c s="2253" t="str">
        <f>IF(TITLE_IST_PUB_CHANGE="",IF(TITLE_IST_PUB="","",TITLE_IST_PUB),TITLE_IST_PUB_CHANGE)</f>
        <v/>
      </c>
      <c s="2253"/>
      <c s="2253"/>
      <c s="2253"/>
      <c s="2253"/>
      <c s="2253"/>
      <c s="2253"/>
      <c s="1637"/>
      <c s="2253" t="str">
        <f>IF(TITLE_IST_PUB_CHANGE="",IF(TITLE_IST_PUB="","",TITLE_IST_PUB),TITLE_IST_PUB_CHANGE)</f>
        <v/>
      </c>
      <c s="2253"/>
      <c s="2253"/>
      <c s="2253"/>
      <c s="2253"/>
      <c s="2253"/>
      <c s="2253"/>
      <c s="1637"/>
      <c s="1637"/>
      <c s="282"/>
      <c s="370"/>
      <c s="370"/>
      <c s="370"/>
      <c s="370"/>
      <c s="370"/>
      <c s="420">
        <v>0</v>
      </c>
    </row>
    <row r="33" spans="17:45" ht="14.25" customHeight="1" hidden="1">
      <c r="Q33" s="378"/>
      <c s="378"/>
      <c s="1277"/>
      <c s="459"/>
      <c s="459"/>
      <c s="324"/>
      <c s="324"/>
      <c s="324"/>
      <c s="324"/>
      <c s="324"/>
      <c s="324"/>
      <c s="324"/>
      <c s="324"/>
      <c s="324"/>
      <c s="324"/>
      <c s="324"/>
      <c s="324"/>
      <c s="324"/>
      <c s="324"/>
      <c s="324"/>
      <c s="324"/>
      <c s="1637"/>
      <c r="AS33" s="1633">
        <v>0</v>
      </c>
    </row>
    <row r="34" spans="1:45" s="1855" customFormat="1" ht="18.75" customHeight="1" hidden="1">
      <c r="A34" s="1250"/>
      <c s="1250"/>
      <c s="1250"/>
      <c s="1250"/>
      <c s="1250"/>
      <c s="1250"/>
      <c s="1250"/>
      <c s="1250"/>
      <c s="1250"/>
      <c s="1250"/>
      <c s="1250"/>
      <c s="1382"/>
      <c s="1250"/>
      <c s="1250"/>
      <c s="1250"/>
      <c r="S34" s="2252" t="s">
        <v>425</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5" spans="1:45" s="1855" customFormat="1" ht="18.75" customHeight="1" hidden="1">
      <c r="A35" s="1250"/>
      <c s="1250"/>
      <c s="1250"/>
      <c s="1250"/>
      <c s="1250"/>
      <c s="1250"/>
      <c s="1250"/>
      <c s="1250"/>
      <c s="1250"/>
      <c s="1250"/>
      <c s="1250"/>
      <c s="1382"/>
      <c s="1250"/>
      <c s="1250"/>
      <c s="1250"/>
      <c r="S35" s="2252" t="s">
        <v>426</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6" spans="1:45" s="1855" customFormat="1" ht="0" customHeight="1">
      <c r="A36" s="1250"/>
      <c s="1250"/>
      <c s="1250"/>
      <c s="1250"/>
      <c s="1250"/>
      <c s="1250"/>
      <c s="1250"/>
      <c s="1250"/>
      <c s="1250"/>
      <c s="1250"/>
      <c s="1250"/>
      <c s="1382"/>
      <c s="1250"/>
      <c s="1250"/>
      <c s="1250"/>
      <c r="S36" s="1637"/>
      <c s="1637"/>
      <c s="1972"/>
      <c s="1637"/>
      <c s="1637"/>
      <c s="1637"/>
      <c s="1637"/>
      <c s="1637"/>
      <c s="1637"/>
      <c s="1637"/>
      <c s="1644" t="s">
        <v>427</v>
      </c>
      <c s="1637"/>
      <c s="1637"/>
      <c s="1637"/>
      <c s="1637"/>
      <c s="1637"/>
      <c s="1637"/>
      <c s="1637"/>
      <c s="1644" t="s">
        <v>427</v>
      </c>
      <c r="AN36" s="370"/>
      <c s="370"/>
      <c s="370"/>
      <c s="370"/>
      <c s="370"/>
      <c s="420">
        <v>0</v>
      </c>
    </row>
    <row r="37" spans="17:45" ht="14.7" customHeight="1">
      <c r="Q37" s="378"/>
      <c s="378"/>
      <c s="1277"/>
      <c s="459"/>
      <c s="1246"/>
      <c s="2254"/>
      <c s="2254"/>
      <c s="2254"/>
      <c s="2254"/>
      <c s="2254"/>
      <c s="2254"/>
      <c s="2254"/>
      <c s="2254"/>
      <c s="2254"/>
      <c s="2254"/>
      <c s="2254"/>
      <c s="2254"/>
      <c s="2254"/>
      <c s="2254"/>
      <c s="2254"/>
      <c s="2254"/>
      <c r="AS37" s="1633">
        <v>14</v>
      </c>
    </row>
    <row r="38" spans="17:45" ht="14.7" customHeight="1">
      <c r="Q38" s="378"/>
      <c s="378"/>
      <c s="2129" t="s">
        <v>300</v>
      </c>
      <c s="2129"/>
      <c s="2129"/>
      <c s="2129"/>
      <c s="2129"/>
      <c s="2129"/>
      <c s="2129"/>
      <c s="2129"/>
      <c s="2129"/>
      <c s="2129"/>
      <c s="2129"/>
      <c s="2129"/>
      <c s="2129"/>
      <c s="2129"/>
      <c s="2129"/>
      <c s="2129"/>
      <c s="2129"/>
      <c s="2129"/>
      <c s="2129"/>
      <c s="2129"/>
      <c s="2129" t="s">
        <v>301</v>
      </c>
      <c r="AS38" s="1633">
        <v>14</v>
      </c>
    </row>
    <row r="39" spans="17:45" ht="14.7" customHeight="1">
      <c r="Q39" s="378"/>
      <c s="378"/>
      <c s="2275" t="s">
        <v>87</v>
      </c>
      <c s="2211" t="s">
        <v>428</v>
      </c>
      <c s="339"/>
      <c s="2276" t="s">
        <v>429</v>
      </c>
      <c s="2277"/>
      <c s="2277"/>
      <c s="2277"/>
      <c s="2277"/>
      <c s="2277"/>
      <c s="2278"/>
      <c s="2279" t="s">
        <v>430</v>
      </c>
      <c s="2276" t="s">
        <v>429</v>
      </c>
      <c s="2277"/>
      <c s="2277"/>
      <c s="2277"/>
      <c s="2277"/>
      <c s="2277"/>
      <c s="2278"/>
      <c s="2279" t="s">
        <v>431</v>
      </c>
      <c s="2282" t="s">
        <v>432</v>
      </c>
      <c s="2129"/>
      <c r="AS39" s="1633">
        <v>14</v>
      </c>
    </row>
    <row r="40" spans="17:45" ht="35.7" customHeight="1">
      <c r="Q40" s="378"/>
      <c s="378"/>
      <c s="2275"/>
      <c s="2211"/>
      <c s="1033"/>
      <c s="2262" t="s">
        <v>433</v>
      </c>
      <c s="2285" t="s">
        <v>434</v>
      </c>
      <c s="2264" t="s">
        <v>435</v>
      </c>
      <c s="2265"/>
      <c s="2264" t="s">
        <v>449</v>
      </c>
      <c s="2271"/>
      <c s="2265"/>
      <c s="2280"/>
      <c s="2262" t="s">
        <v>433</v>
      </c>
      <c s="2285" t="s">
        <v>434</v>
      </c>
      <c s="2264" t="s">
        <v>435</v>
      </c>
      <c s="2265"/>
      <c s="2264" t="s">
        <v>436</v>
      </c>
      <c s="2271"/>
      <c s="2265"/>
      <c s="2280"/>
      <c s="2283"/>
      <c s="2129"/>
      <c r="AS40" s="1633">
        <v>34</v>
      </c>
    </row>
    <row r="41" spans="1:45" ht="35.7" customHeight="1">
      <c r="A41" s="1268"/>
      <c s="1268" t="s">
        <v>137</v>
      </c>
      <c s="1268" t="s">
        <v>138</v>
      </c>
      <c s="1268" t="s">
        <v>139</v>
      </c>
      <c s="1312" t="s">
        <v>437</v>
      </c>
      <c s="1312" t="s">
        <v>438</v>
      </c>
      <c s="1312" t="s">
        <v>439</v>
      </c>
      <c s="1312" t="s">
        <v>440</v>
      </c>
      <c s="1312" t="s">
        <v>441</v>
      </c>
      <c s="1312" t="s">
        <v>442</v>
      </c>
      <c s="1312" t="s">
        <v>443</v>
      </c>
      <c s="1312" t="s">
        <v>418</v>
      </c>
      <c r="Q41" s="378"/>
      <c s="378"/>
      <c s="2275"/>
      <c s="2211"/>
      <c s="304"/>
      <c s="2263"/>
      <c s="2286"/>
      <c s="1940" t="s">
        <v>444</v>
      </c>
      <c s="1940" t="s">
        <v>445</v>
      </c>
      <c s="1940" t="s">
        <v>446</v>
      </c>
      <c s="2272" t="s">
        <v>447</v>
      </c>
      <c s="2273"/>
      <c s="2281"/>
      <c s="2263"/>
      <c s="2286"/>
      <c s="1940" t="s">
        <v>444</v>
      </c>
      <c s="1940" t="s">
        <v>445</v>
      </c>
      <c s="1940" t="s">
        <v>446</v>
      </c>
      <c s="2272" t="s">
        <v>447</v>
      </c>
      <c s="2273"/>
      <c s="2281"/>
      <c s="2284"/>
      <c s="2129"/>
      <c r="AS41" s="1633">
        <v>34</v>
      </c>
    </row>
    <row r="42" spans="1:45" s="1643" customFormat="1" ht="11.25" customHeight="1" hidden="1">
      <c r="A42" s="1268"/>
      <c s="1268"/>
      <c s="1268"/>
      <c s="1268"/>
      <c s="1268"/>
      <c s="1268"/>
      <c s="1268"/>
      <c s="1268"/>
      <c s="1268"/>
      <c s="1268"/>
      <c s="1268"/>
      <c s="1312"/>
      <c s="1967"/>
      <c s="1967"/>
      <c s="1967"/>
      <c s="1248"/>
      <c s="1249"/>
      <c s="1256">
        <v>1</v>
      </c>
      <c s="1279" t="s">
        <v>109</v>
      </c>
      <c s="1257" t="s">
        <v>110</v>
      </c>
      <c s="1247" t="str">
        <f ca="1">OFFSET(U42,0,-1)</f>
        <v>2</v>
      </c>
      <c s="1958">
        <f ca="1">OFFSET(V42,0,-1)+1</f>
        <v>3</v>
      </c>
      <c s="1958"/>
      <c s="1958">
        <f ca="1">OFFSET(X42,0,-1)+1</f>
        <v>1</v>
      </c>
      <c s="1958">
        <f ca="1">OFFSET(Y42,0,-1)+1</f>
        <v>2</v>
      </c>
      <c s="1958">
        <f ca="1">OFFSET(Z42,0,-1)+1</f>
        <v>3</v>
      </c>
      <c s="2274">
        <f ca="1">OFFSET(AA42,0,-1)+1</f>
        <v>4</v>
      </c>
      <c s="2274"/>
      <c s="1958">
        <f ca="1">OFFSET(AC42,0,-2)+1</f>
        <v>5</v>
      </c>
      <c s="1958">
        <f ca="1">OFFSET(AD42,0,-1)+1</f>
        <v>6</v>
      </c>
      <c s="1958"/>
      <c s="1958">
        <f ca="1">OFFSET(AF42,0,-1)+1</f>
        <v>1</v>
      </c>
      <c s="1958">
        <f ca="1">OFFSET(AG42,0,-1)+1</f>
        <v>2</v>
      </c>
      <c s="1958">
        <f ca="1">OFFSET(AH42,0,-1)+1</f>
        <v>3</v>
      </c>
      <c s="2274">
        <f ca="1">OFFSET(AI42,0,-1)+1</f>
        <v>4</v>
      </c>
      <c s="2274"/>
      <c s="1958">
        <f ca="1">OFFSET(AK42,0,-2)+1</f>
        <v>5</v>
      </c>
      <c s="1247">
        <f ca="1">OFFSET(AL42,0,-1)</f>
        <v>5</v>
      </c>
      <c s="1958">
        <f ca="1">OFFSET(AM42,0,-1)+1</f>
        <v>6</v>
      </c>
      <c s="1638"/>
      <c s="1638"/>
      <c s="1638"/>
      <c s="1638"/>
      <c s="1638"/>
      <c s="1643">
        <v>0</v>
      </c>
    </row>
    <row r="43" spans="1:45" ht="22.05" customHeight="1">
      <c r="A43" s="1269" t="s">
        <v>212</v>
      </c>
      <c s="1269"/>
      <c s="1269"/>
      <c s="1269"/>
      <c s="2291">
        <v>1</v>
      </c>
      <c s="1269"/>
      <c s="1269"/>
      <c s="1269"/>
      <c s="1269"/>
      <c s="1269"/>
      <c s="1269"/>
      <c s="1312"/>
      <c s="1612"/>
      <c s="1612"/>
      <c s="1612"/>
      <c s="1592"/>
      <c s="362"/>
      <c s="357"/>
      <c s="1960">
        <f>INDEX(PT_DIFFERENTIATION_NUM_NTAR,MATCH(A43,PT_DIFFERENTIATION_NTAR_ID,0))</f>
        <v>0</v>
      </c>
      <c s="1527"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s="1626" t="str">
        <f>IF(T43="","",T43)</f>
        <v>Наименование тарифа</v>
      </c>
      <c s="1626"/>
      <c s="1626"/>
      <c s="1633">
        <v>21</v>
      </c>
    </row>
    <row r="44" spans="1:45" ht="22.05" customHeight="1">
      <c r="A44" s="1269" t="s">
        <v>212</v>
      </c>
      <c s="1269" t="s">
        <v>213</v>
      </c>
      <c s="1269"/>
      <c s="1269"/>
      <c s="2292"/>
      <c s="2291">
        <v>1</v>
      </c>
      <c s="1269"/>
      <c s="1269"/>
      <c s="1269"/>
      <c s="1269"/>
      <c s="1269"/>
      <c s="1312"/>
      <c s="1612"/>
      <c s="1612"/>
      <c s="1612"/>
      <c s="1942"/>
      <c s="354"/>
      <c s="355"/>
      <c s="1960" t="str">
        <f>INDEX(PT_DIFFERENTIATION_NUM_TER,MATCH(B44,PT_DIFFERENTIATION_TER_ID,0))</f>
        <v>.</v>
      </c>
      <c s="1524" t="s">
        <v>397</v>
      </c>
      <c s="302"/>
      <c s="2244"/>
      <c s="2245"/>
      <c s="2245"/>
      <c s="2245"/>
      <c s="2245"/>
      <c s="2245"/>
      <c s="2245"/>
      <c s="2246"/>
      <c s="2244" t="str">
        <f>INDEX(PT_DIFFERENTIATION_TER,MATCH(B44,PT_DIFFERENTIATION_TER_ID,0))</f>
        <v/>
      </c>
      <c s="2245"/>
      <c s="2245"/>
      <c s="2245"/>
      <c s="2245"/>
      <c s="2245"/>
      <c s="2245"/>
      <c s="2245"/>
      <c s="2246"/>
      <c s="1260" t="s">
        <v>398</v>
      </c>
      <c r="AO44" s="1626"/>
      <c s="1626" t="str">
        <f>IF(T44="","",T44)</f>
        <v>Территория действия тарифа</v>
      </c>
      <c s="1626"/>
      <c s="1626"/>
      <c s="1633">
        <v>21</v>
      </c>
    </row>
    <row r="45" spans="1:45" ht="24" customHeight="1">
      <c r="A45" s="1269" t="s">
        <v>212</v>
      </c>
      <c s="1269" t="s">
        <v>213</v>
      </c>
      <c s="1269" t="s">
        <v>214</v>
      </c>
      <c s="1269"/>
      <c s="2292"/>
      <c s="2292"/>
      <c s="2291">
        <v>1</v>
      </c>
      <c s="1269"/>
      <c s="1269"/>
      <c s="1269"/>
      <c s="1269"/>
      <c s="1312"/>
      <c s="1612"/>
      <c s="1612"/>
      <c s="1612"/>
      <c s="356"/>
      <c s="354"/>
      <c s="355"/>
      <c s="1960"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1626"/>
      <c s="1626" t="str">
        <f>IF(T45="","",T45)</f>
        <v>Наименование системы теплоснабжения</v>
      </c>
      <c s="1626"/>
      <c s="1626"/>
      <c s="1633">
        <v>23</v>
      </c>
    </row>
    <row r="46" spans="1:45" ht="22.05" customHeight="1">
      <c r="A46" s="1269" t="s">
        <v>212</v>
      </c>
      <c s="1269" t="s">
        <v>213</v>
      </c>
      <c s="1269" t="s">
        <v>214</v>
      </c>
      <c s="1269" t="s">
        <v>215</v>
      </c>
      <c s="2292"/>
      <c s="2292"/>
      <c s="2292"/>
      <c s="2291">
        <v>1</v>
      </c>
      <c s="1269"/>
      <c s="1269"/>
      <c s="1269"/>
      <c s="1312"/>
      <c s="1612"/>
      <c s="1612"/>
      <c s="1612"/>
      <c s="356"/>
      <c s="354"/>
      <c s="355"/>
      <c s="1960"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1626"/>
      <c s="1626" t="str">
        <f>IF(T46="","",T46)</f>
        <v>Источник тепловой энергии</v>
      </c>
      <c s="1626"/>
      <c s="1626"/>
      <c s="1633">
        <v>21</v>
      </c>
    </row>
    <row r="47" spans="1:45" ht="49.5" customHeight="1">
      <c r="A47" s="1269" t="s">
        <v>212</v>
      </c>
      <c s="1269" t="s">
        <v>213</v>
      </c>
      <c s="1269" t="s">
        <v>214</v>
      </c>
      <c s="1269" t="s">
        <v>215</v>
      </c>
      <c s="2292"/>
      <c s="2292"/>
      <c s="2292"/>
      <c s="2292"/>
      <c s="2129" t="str">
        <f>S46&amp;".1"</f>
        <v>....1</v>
      </c>
      <c s="1269"/>
      <c s="1269"/>
      <c s="1312" t="s">
        <v>403</v>
      </c>
      <c r="P47" s="2259">
        <v>1</v>
      </c>
      <c s="1956"/>
      <c s="358"/>
      <c s="1960" t="str">
        <f>$I47</f>
        <v>....1</v>
      </c>
      <c s="287" t="s">
        <v>404</v>
      </c>
      <c s="302"/>
      <c s="2247"/>
      <c s="2248"/>
      <c s="2248"/>
      <c s="2248"/>
      <c s="2248"/>
      <c s="2248"/>
      <c s="2248"/>
      <c s="2249"/>
      <c s="2247"/>
      <c s="2248"/>
      <c s="2248"/>
      <c s="2248"/>
      <c s="2248"/>
      <c s="2248"/>
      <c s="2248"/>
      <c s="2248"/>
      <c s="2249"/>
      <c s="1260" t="s">
        <v>405</v>
      </c>
      <c r="AO47" s="1626"/>
      <c s="1626" t="str">
        <f>IF(T47="","",T47)</f>
        <v>Схема подключения теплопотребляющей установки к коллектору источника тепловой энергии</v>
      </c>
      <c s="1626"/>
      <c s="1626"/>
      <c s="1633">
        <v>47</v>
      </c>
    </row>
    <row r="48" spans="1:45" ht="22.05" customHeight="1">
      <c r="A48" s="1269" t="s">
        <v>212</v>
      </c>
      <c s="1269" t="s">
        <v>213</v>
      </c>
      <c s="1269" t="s">
        <v>214</v>
      </c>
      <c s="1269" t="s">
        <v>215</v>
      </c>
      <c s="2292"/>
      <c s="2292"/>
      <c s="2292"/>
      <c s="2292"/>
      <c s="2103"/>
      <c s="2129" t="str">
        <f>I47&amp;".1"</f>
        <v>....1.1</v>
      </c>
      <c s="1269"/>
      <c s="1312" t="s">
        <v>406</v>
      </c>
      <c r="P48" s="2259"/>
      <c s="2259">
        <v>1</v>
      </c>
      <c s="359"/>
      <c s="1960" t="str">
        <f>$J48</f>
        <v>....1.1</v>
      </c>
      <c s="288" t="s">
        <v>407</v>
      </c>
      <c s="302"/>
      <c s="2247"/>
      <c s="2248"/>
      <c s="2248"/>
      <c s="2248"/>
      <c s="2248"/>
      <c s="2248"/>
      <c s="2248"/>
      <c s="2249"/>
      <c s="2247"/>
      <c s="2248"/>
      <c s="2248"/>
      <c s="2248"/>
      <c s="2248"/>
      <c s="2248"/>
      <c s="2248"/>
      <c s="2248"/>
      <c s="2249"/>
      <c s="1260" t="s">
        <v>408</v>
      </c>
      <c r="AO48" s="1626"/>
      <c s="1626" t="str">
        <f>IF(T48="","",T48)</f>
        <v>Группа потребителей</v>
      </c>
      <c s="1626"/>
      <c s="1626"/>
      <c s="1633">
        <v>21</v>
      </c>
    </row>
    <row r="49" spans="1:45" ht="22.05" customHeight="1">
      <c r="A49" s="1269" t="s">
        <v>212</v>
      </c>
      <c s="1269" t="s">
        <v>213</v>
      </c>
      <c s="1269" t="s">
        <v>214</v>
      </c>
      <c s="1269" t="s">
        <v>215</v>
      </c>
      <c s="2292"/>
      <c s="2292"/>
      <c s="2292"/>
      <c s="2292"/>
      <c s="2103"/>
      <c s="2103"/>
      <c s="2129" t="str">
        <f>J48&amp;".1"</f>
        <v>....1.1.1</v>
      </c>
      <c s="1312" t="s">
        <v>409</v>
      </c>
      <c r="P49" s="2259"/>
      <c s="2259"/>
      <c s="359">
        <v>1</v>
      </c>
      <c s="1960" t="str">
        <f>$K49</f>
        <v>....1.1.1</v>
      </c>
      <c s="1349"/>
      <c s="302"/>
      <c s="753"/>
      <c s="327"/>
      <c s="753"/>
      <c s="1259"/>
      <c s="2267"/>
      <c s="2109" t="s">
        <v>65</v>
      </c>
      <c s="2267"/>
      <c s="2109" t="s">
        <v>65</v>
      </c>
      <c s="753"/>
      <c s="327"/>
      <c s="753"/>
      <c s="1259"/>
      <c s="2267"/>
      <c s="2109" t="s">
        <v>65</v>
      </c>
      <c s="2289"/>
      <c s="2109" t="s">
        <v>65</v>
      </c>
      <c s="1350"/>
      <c s="2255" t="s">
        <v>410</v>
      </c>
      <c s="1638">
        <f>STRCHECKDATE(V50:AL50)</f>
      </c>
      <c s="1626"/>
      <c s="1626" t="str">
        <f>IF(T49="","",T49)</f>
        <v/>
      </c>
      <c s="1626"/>
      <c s="1626"/>
      <c s="1633">
        <v>21</v>
      </c>
    </row>
    <row r="50" spans="1:45" ht="1.05" customHeight="1">
      <c r="A50" s="1269" t="s">
        <v>212</v>
      </c>
      <c s="1269" t="s">
        <v>213</v>
      </c>
      <c s="1269" t="s">
        <v>214</v>
      </c>
      <c s="1269" t="s">
        <v>215</v>
      </c>
      <c s="2292"/>
      <c s="2292"/>
      <c s="2292"/>
      <c s="2292"/>
      <c s="2103"/>
      <c s="2103"/>
      <c s="2129"/>
      <c s="1312"/>
      <c r="P50" s="2259"/>
      <c s="2259"/>
      <c s="359"/>
      <c s="1969"/>
      <c s="302"/>
      <c s="302"/>
      <c s="327"/>
      <c s="327"/>
      <c s="327"/>
      <c s="330" t="str">
        <f>Z49&amp;"-"&amp;AB49</f>
        <v>-</v>
      </c>
      <c s="2268"/>
      <c s="2109"/>
      <c s="2268"/>
      <c s="2109"/>
      <c s="327"/>
      <c s="327"/>
      <c s="327"/>
      <c s="330" t="str">
        <f>AH49&amp;"-"&amp;AJ49</f>
        <v>-</v>
      </c>
      <c s="2268"/>
      <c s="2109"/>
      <c s="2290"/>
      <c s="2109"/>
      <c s="1351"/>
      <c s="2256"/>
      <c r="AO50" s="1626"/>
      <c s="1626" t="str">
        <f>IF(T50="","",T50)</f>
        <v/>
      </c>
      <c s="1626"/>
      <c s="1626"/>
      <c s="1633">
        <v>1</v>
      </c>
    </row>
    <row r="51" spans="1:45" ht="11.55" customHeight="1">
      <c r="A51" s="1269" t="s">
        <v>212</v>
      </c>
      <c s="1269" t="s">
        <v>213</v>
      </c>
      <c s="1269" t="s">
        <v>214</v>
      </c>
      <c s="1269" t="s">
        <v>215</v>
      </c>
      <c s="2292"/>
      <c s="2292"/>
      <c s="2292"/>
      <c s="2292"/>
      <c s="2103"/>
      <c s="2129"/>
      <c s="1269"/>
      <c s="1312"/>
      <c r="P51" s="2259"/>
      <c s="2259"/>
      <c s="358"/>
      <c s="1280"/>
      <c s="290" t="s">
        <v>411</v>
      </c>
      <c s="602"/>
      <c s="602"/>
      <c s="602"/>
      <c s="602"/>
      <c s="602"/>
      <c s="602"/>
      <c s="602"/>
      <c s="602"/>
      <c s="602"/>
      <c s="602"/>
      <c s="602"/>
      <c s="602"/>
      <c s="602"/>
      <c s="602"/>
      <c s="602"/>
      <c s="602"/>
      <c s="602"/>
      <c s="326"/>
      <c s="2257"/>
      <c r="AO51" s="1626"/>
      <c s="1626" t="str">
        <f>IF(T51="","",T51)</f>
        <v>Добавить вид теплоносителя (параметры теплоносителя)</v>
      </c>
      <c s="1626"/>
      <c s="1626"/>
      <c s="1633">
        <v>11</v>
      </c>
    </row>
    <row r="52" spans="1:45" ht="11.55" customHeight="1">
      <c r="A52" s="1269" t="s">
        <v>212</v>
      </c>
      <c s="1269" t="s">
        <v>213</v>
      </c>
      <c s="1269" t="s">
        <v>214</v>
      </c>
      <c s="1269" t="s">
        <v>215</v>
      </c>
      <c s="2292"/>
      <c s="2292"/>
      <c s="2292"/>
      <c s="2292"/>
      <c s="2129"/>
      <c s="1269"/>
      <c s="1269"/>
      <c s="1312"/>
      <c r="P52" s="2259"/>
      <c s="1956"/>
      <c s="358"/>
      <c s="1280"/>
      <c s="289" t="s">
        <v>412</v>
      </c>
      <c s="602"/>
      <c s="602"/>
      <c s="602"/>
      <c s="602"/>
      <c s="602"/>
      <c s="602"/>
      <c s="602"/>
      <c s="602"/>
      <c s="368"/>
      <c s="602"/>
      <c s="602"/>
      <c s="602"/>
      <c s="602"/>
      <c s="602"/>
      <c s="602"/>
      <c s="602"/>
      <c s="368"/>
      <c s="602"/>
      <c s="305"/>
      <c r="AO52" s="1626"/>
      <c s="1626" t="str">
        <f>IF(T52="","",T52)</f>
        <v>Добавить группу потребителей</v>
      </c>
      <c s="1626"/>
      <c s="1626"/>
      <c s="1633">
        <v>11</v>
      </c>
    </row>
    <row r="53" spans="1:45" ht="14.7" customHeight="1">
      <c r="A53" s="1269" t="s">
        <v>212</v>
      </c>
      <c s="1269" t="s">
        <v>213</v>
      </c>
      <c s="1269" t="s">
        <v>214</v>
      </c>
      <c s="1269" t="s">
        <v>215</v>
      </c>
      <c s="2292"/>
      <c s="2292"/>
      <c s="2292"/>
      <c s="2291"/>
      <c s="1269"/>
      <c s="1269"/>
      <c s="1269"/>
      <c s="1312"/>
      <c s="1612"/>
      <c s="1612"/>
      <c s="1637"/>
      <c s="362"/>
      <c s="377"/>
      <c s="357"/>
      <c s="1280"/>
      <c s="367" t="s">
        <v>413</v>
      </c>
      <c s="602"/>
      <c s="602"/>
      <c s="602"/>
      <c s="602"/>
      <c s="602"/>
      <c s="602"/>
      <c s="602"/>
      <c s="602"/>
      <c s="368"/>
      <c s="602"/>
      <c s="602"/>
      <c s="602"/>
      <c s="602"/>
      <c s="602"/>
      <c s="602"/>
      <c s="602"/>
      <c s="368"/>
      <c s="602"/>
      <c s="305"/>
      <c r="AO53" s="1626"/>
      <c s="1626" t="str">
        <f>IF(T53="","",T53)</f>
        <v>Добавить схему подключения</v>
      </c>
      <c s="1626"/>
      <c s="1626"/>
      <c s="1633">
        <v>14</v>
      </c>
    </row>
    <row r="54" spans="1:45" s="1644" customFormat="1" ht="4.2" customHeight="1">
      <c r="A54" s="1377" t="s">
        <v>212</v>
      </c>
      <c s="1377" t="s">
        <v>213</v>
      </c>
      <c s="1377" t="s">
        <v>214</v>
      </c>
      <c s="1376"/>
      <c s="2292"/>
      <c s="2292"/>
      <c s="2291"/>
      <c s="1376"/>
      <c s="1376"/>
      <c s="1376"/>
      <c s="1376"/>
      <c s="1379"/>
      <c s="1380"/>
      <c s="1380"/>
      <c s="353"/>
      <c s="1318"/>
      <c s="1319"/>
      <c s="1318"/>
      <c s="1324"/>
      <c s="1327" t="s">
        <v>414</v>
      </c>
      <c s="1326"/>
      <c s="1326"/>
      <c s="1326"/>
      <c s="1326"/>
      <c s="1326"/>
      <c s="1326"/>
      <c s="1326"/>
      <c s="1326"/>
      <c s="1326"/>
      <c s="1326"/>
      <c s="1326"/>
      <c s="1326"/>
      <c s="1326"/>
      <c s="1326"/>
      <c s="1326"/>
      <c s="1326"/>
      <c s="1326"/>
      <c s="1326"/>
      <c s="1326"/>
      <c r="AO54" s="1253"/>
      <c s="1253" t="str">
        <f>IF(T54="","",T54)</f>
        <v>Добавить источник для дифференциации</v>
      </c>
      <c s="1253"/>
      <c s="1253"/>
      <c s="1644">
        <v>4</v>
      </c>
    </row>
    <row r="55" spans="1:45" s="1644" customFormat="1" ht="4.2" customHeight="1">
      <c r="A55" s="1377" t="s">
        <v>212</v>
      </c>
      <c s="1377" t="s">
        <v>213</v>
      </c>
      <c s="1376"/>
      <c s="1376"/>
      <c s="2292"/>
      <c s="2291"/>
      <c s="1376"/>
      <c s="1376"/>
      <c s="1376"/>
      <c s="1376"/>
      <c s="1376"/>
      <c s="1379"/>
      <c s="1381"/>
      <c s="1381"/>
      <c s="353"/>
      <c s="1318"/>
      <c s="1319"/>
      <c s="1318"/>
      <c s="1324"/>
      <c s="1327" t="s">
        <v>415</v>
      </c>
      <c s="1326"/>
      <c s="1326"/>
      <c s="1326"/>
      <c s="1326"/>
      <c s="1326"/>
      <c s="1326"/>
      <c s="1326"/>
      <c s="1326"/>
      <c s="1326"/>
      <c s="1326"/>
      <c s="1326"/>
      <c s="1326"/>
      <c s="1326"/>
      <c s="1326"/>
      <c s="1326"/>
      <c s="1326"/>
      <c s="1326"/>
      <c s="1326"/>
      <c s="1326"/>
      <c r="AO55" s="1253"/>
      <c s="1253" t="str">
        <f>IF(T55="","",T55)</f>
        <v>Добавить централизованную систему для дифференциации</v>
      </c>
      <c s="1253"/>
      <c s="1253"/>
      <c s="1644">
        <v>4</v>
      </c>
    </row>
    <row r="56" spans="1:45" s="1644" customFormat="1" ht="4.2" customHeight="1">
      <c r="A56" s="1377" t="s">
        <v>212</v>
      </c>
      <c s="1377"/>
      <c s="1377"/>
      <c s="1377"/>
      <c s="2291"/>
      <c s="1377"/>
      <c s="1377"/>
      <c s="1377"/>
      <c s="1377"/>
      <c s="1377"/>
      <c s="1377"/>
      <c s="1383"/>
      <c s="1381"/>
      <c s="1381"/>
      <c s="353"/>
      <c s="382"/>
      <c s="1346"/>
      <c s="382"/>
      <c s="1324"/>
      <c s="1327" t="s">
        <v>416</v>
      </c>
      <c s="1326"/>
      <c s="1326"/>
      <c s="1326"/>
      <c s="1326"/>
      <c s="1326"/>
      <c s="1326"/>
      <c s="1326"/>
      <c s="1326"/>
      <c s="1326"/>
      <c s="1326"/>
      <c s="1326"/>
      <c s="1326"/>
      <c s="1326"/>
      <c s="1326"/>
      <c s="1326"/>
      <c s="1326"/>
      <c s="1326"/>
      <c s="1326"/>
      <c s="1326"/>
      <c r="AO56" s="1626"/>
      <c s="1626" t="str">
        <f>IF(T56="","",T56)</f>
        <v>Добавить территорию для дифференциации</v>
      </c>
      <c s="1626"/>
      <c s="1626"/>
      <c s="1638">
        <v>4</v>
      </c>
    </row>
    <row r="57" spans="1:45" s="1644" customFormat="1" ht="4.2" customHeight="1">
      <c r="A57" s="1376"/>
      <c s="1376"/>
      <c s="1376"/>
      <c s="1376"/>
      <c s="1377"/>
      <c s="1376"/>
      <c s="1376"/>
      <c s="1376"/>
      <c s="1376"/>
      <c s="1376"/>
      <c s="1376"/>
      <c s="1379"/>
      <c s="1381"/>
      <c s="1381"/>
      <c s="353"/>
      <c s="1318"/>
      <c s="1319"/>
      <c s="1318"/>
      <c s="1324"/>
      <c s="1327" t="s">
        <v>448</v>
      </c>
      <c s="1326"/>
      <c s="1326"/>
      <c s="1326"/>
      <c s="1326"/>
      <c s="1326"/>
      <c s="1326"/>
      <c s="1326"/>
      <c s="1326"/>
      <c s="1326"/>
      <c s="1326"/>
      <c s="1326"/>
      <c s="1326"/>
      <c s="1326"/>
      <c s="1326"/>
      <c s="1326"/>
      <c s="1326"/>
      <c s="1326"/>
      <c s="1326"/>
      <c s="1326"/>
      <c r="AO57" s="1253"/>
      <c s="1253" t="str">
        <f>IF(T57="","",T57)</f>
        <v>Добавить наименование тарифа</v>
      </c>
      <c s="1253"/>
      <c s="1253"/>
      <c s="1644">
        <v>4</v>
      </c>
    </row>
    <row r="58" spans="13:45" ht="11.55" customHeight="1">
      <c r="M58" s="1633"/>
      <c s="1633"/>
      <c s="1637"/>
      <c s="1633"/>
      <c s="1633"/>
      <c s="1633"/>
      <c s="1633"/>
      <c r="AN58" s="1633"/>
      <c s="1633"/>
      <c s="1633"/>
      <c s="1633"/>
      <c s="1633"/>
      <c s="1633">
        <v>11</v>
      </c>
    </row>
    <row r="59" spans="15:45" ht="28.5" customHeight="1">
      <c r="O59" s="1637"/>
      <c r="S59" s="1255"/>
      <c s="2287"/>
      <c s="2287"/>
      <c s="2287"/>
      <c s="2287"/>
      <c s="2287"/>
      <c s="2287"/>
      <c s="2287"/>
      <c s="2287"/>
      <c s="2287"/>
      <c s="2287"/>
      <c s="2287"/>
      <c s="2287"/>
      <c s="2287"/>
      <c s="2287"/>
      <c s="2287"/>
      <c s="2287"/>
      <c s="2287"/>
      <c s="2287"/>
      <c s="2287"/>
      <c s="2287"/>
      <c r="AS59" s="1633">
        <v>27</v>
      </c>
    </row>
    <row r="60" spans="15:45" ht="65.25" customHeight="1">
      <c r="O60" s="1637"/>
      <c r="T60" s="2287"/>
      <c s="2287"/>
      <c s="2287"/>
      <c s="2287"/>
      <c s="2287"/>
      <c s="2287"/>
      <c s="2287"/>
      <c s="2287"/>
      <c s="2287"/>
      <c s="2287"/>
      <c s="2287"/>
      <c s="2287"/>
      <c s="2287"/>
      <c s="2287"/>
      <c s="2287"/>
      <c s="2287"/>
      <c s="2287"/>
      <c s="2287"/>
      <c s="2287"/>
      <c s="2287"/>
      <c r="AS60" s="1633">
        <v>62</v>
      </c>
    </row>
    <row r="61" spans="15:45" ht="14.7" customHeight="1">
      <c r="O61" s="1637"/>
      <c r="AS61" s="1633">
        <v>14</v>
      </c>
    </row>
    <row r="62" spans="15:45" ht="18.75" customHeight="1">
      <c r="O62" s="1637"/>
      <c r="S62" s="1255"/>
      <c s="2287"/>
      <c s="2287"/>
      <c s="2287"/>
      <c s="2287"/>
      <c s="2287"/>
      <c s="2287"/>
      <c s="2287"/>
      <c s="2287"/>
      <c s="2287"/>
      <c s="2287"/>
      <c s="2287"/>
      <c s="2287"/>
      <c s="2287"/>
      <c s="2287"/>
      <c s="2287"/>
      <c s="2287"/>
      <c s="2287"/>
      <c s="2287"/>
      <c s="2287"/>
      <c s="2287"/>
      <c r="AS62" s="1633">
        <v>18</v>
      </c>
    </row>
    <row r="63" spans="15:45" ht="18.75" customHeight="1">
      <c r="O63" s="1637"/>
      <c r="T63" s="2287"/>
      <c s="2287"/>
      <c s="2287"/>
      <c s="2287"/>
      <c s="2287"/>
      <c s="2287"/>
      <c s="2287"/>
      <c s="2287"/>
      <c s="2287"/>
      <c s="2287"/>
      <c s="2287"/>
      <c s="2287"/>
      <c s="2287"/>
      <c s="2287"/>
      <c s="2287"/>
      <c s="2287"/>
      <c s="2287"/>
      <c s="2287"/>
      <c s="2287"/>
      <c s="2287"/>
      <c r="AS63" s="1633">
        <v>18</v>
      </c>
    </row>
    <row r="64" spans="15:45" ht="29.25" customHeight="1">
      <c r="O64" s="1637"/>
      <c r="S64" s="1255"/>
      <c s="2287"/>
      <c s="2287"/>
      <c s="2287"/>
      <c s="2287"/>
      <c s="2287"/>
      <c s="2287"/>
      <c s="2287"/>
      <c s="2287"/>
      <c s="2287"/>
      <c s="2287"/>
      <c s="2287"/>
      <c s="2287"/>
      <c s="2287"/>
      <c s="2287"/>
      <c s="2287"/>
      <c s="2287"/>
      <c s="2287"/>
      <c s="2287"/>
      <c s="2287"/>
      <c s="2287"/>
      <c r="AS64" s="1633">
        <v>28</v>
      </c>
    </row>
    <row r="65" spans="1:45" ht="22.5" customHeight="1" hidden="1">
      <c r="A65" s="1633" t="s">
        <v>81</v>
      </c>
      <c s="1633">
        <v>0</v>
      </c>
      <c s="1633">
        <v>0</v>
      </c>
      <c s="1633">
        <v>0</v>
      </c>
      <c s="1633">
        <v>0</v>
      </c>
      <c s="1633">
        <v>0</v>
      </c>
      <c s="1633">
        <v>0</v>
      </c>
      <c s="1633">
        <v>0</v>
      </c>
      <c s="1633">
        <v>0</v>
      </c>
      <c s="1633">
        <v>0</v>
      </c>
      <c s="1633">
        <v>0</v>
      </c>
      <c s="1941">
        <v>0</v>
      </c>
      <c s="1967">
        <v>0</v>
      </c>
      <c s="1967">
        <v>0</v>
      </c>
      <c s="1967">
        <v>0</v>
      </c>
      <c s="1967">
        <v>3</v>
      </c>
      <c s="346">
        <v>3</v>
      </c>
      <c s="346">
        <v>3</v>
      </c>
      <c s="583">
        <v>12</v>
      </c>
      <c s="1633">
        <v>31</v>
      </c>
      <c s="1633">
        <v>0</v>
      </c>
      <c s="1633">
        <v>0</v>
      </c>
      <c s="1633">
        <v>0</v>
      </c>
      <c s="1633">
        <v>0</v>
      </c>
      <c s="1633">
        <v>0</v>
      </c>
      <c s="1633">
        <v>0</v>
      </c>
      <c s="1633">
        <v>0</v>
      </c>
      <c s="1633">
        <v>0</v>
      </c>
      <c s="1633">
        <v>0</v>
      </c>
      <c s="1633">
        <v>24</v>
      </c>
      <c s="1633">
        <v>0</v>
      </c>
      <c s="1633">
        <v>24</v>
      </c>
      <c s="1633">
        <v>24</v>
      </c>
      <c s="1633">
        <v>11</v>
      </c>
      <c s="1633">
        <v>3</v>
      </c>
      <c s="1633">
        <v>11</v>
      </c>
      <c s="1633">
        <v>0</v>
      </c>
      <c s="1633">
        <v>4</v>
      </c>
      <c s="1633">
        <v>115</v>
      </c>
      <c s="1638">
        <v>10</v>
      </c>
      <c s="1638">
        <v>10</v>
      </c>
      <c s="1638">
        <v>10</v>
      </c>
      <c s="1638">
        <v>10</v>
      </c>
      <c s="1638">
        <v>10</v>
      </c>
      <c s="163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38EC1B3-68E1-8997-8699-0.EF0CFDB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1" width="11.4285714285714" style="1637" hidden="1" customWidth="1"/>
    <col min="12" max="12" width="19.1428571428571" style="2127" hidden="1" customWidth="1"/>
    <col min="13" max="14" width="12.2857142857143" style="2399" hidden="1" customWidth="1"/>
    <col min="15" max="15" width="23.4285714285714" style="2399"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45:45" ht="22.5" customHeight="1" hidden="1">
      <c r="AS1" s="1633" t="s">
        <v>14</v>
      </c>
    </row>
    <row r="2" spans="1:45" ht="21" customHeight="1" hidden="1">
      <c r="A2" s="1269"/>
      <c s="1269"/>
      <c s="1269"/>
      <c s="1269"/>
      <c s="2291">
        <v>1</v>
      </c>
      <c s="1269"/>
      <c s="1269"/>
      <c s="1269"/>
      <c s="1269"/>
      <c s="1269"/>
      <c s="1269"/>
      <c s="1312"/>
      <c s="1612"/>
      <c s="1612"/>
      <c s="1612"/>
      <c s="1592"/>
      <c s="362"/>
      <c s="357"/>
      <c s="1960">
        <f>INDEX(PT_DIFFERENTIATION_NUM_NTAR,MATCH(A2,PT_DIFFERENTIATION_NTAR_ID,0))</f>
      </c>
      <c s="1527" t="s">
        <v>125</v>
      </c>
      <c s="302"/>
      <c s="2244"/>
      <c s="2245"/>
      <c s="2245"/>
      <c s="2245"/>
      <c s="2245"/>
      <c s="2245"/>
      <c s="2245"/>
      <c s="2246"/>
      <c s="2244">
        <f>INDEX(PT_DIFFERENTIATION_NTAR,MATCH(A2,PT_DIFFERENTIATION_NTAR_ID,0))</f>
      </c>
      <c s="2245"/>
      <c s="2245"/>
      <c s="2245"/>
      <c s="2245"/>
      <c s="2245"/>
      <c s="2245"/>
      <c s="2245"/>
      <c s="2246"/>
      <c s="1260" t="s">
        <v>396</v>
      </c>
      <c r="AO2" s="1626"/>
      <c s="1626" t="str">
        <f>IF(T2="","",T2)</f>
        <v>Наименование тарифа</v>
      </c>
      <c s="1626"/>
      <c s="1626"/>
      <c s="1633">
        <v>0</v>
      </c>
    </row>
    <row r="3" spans="1:45" ht="21" customHeight="1" hidden="1">
      <c r="A3" s="1269"/>
      <c s="1269"/>
      <c s="1269"/>
      <c s="1269"/>
      <c s="2292"/>
      <c s="2291">
        <v>1</v>
      </c>
      <c s="1269"/>
      <c s="1269"/>
      <c s="1269"/>
      <c s="1269"/>
      <c s="1269"/>
      <c s="1312"/>
      <c s="1612"/>
      <c s="1612"/>
      <c s="1612"/>
      <c s="1942"/>
      <c s="354"/>
      <c s="355"/>
      <c s="1960">
        <f>INDEX(PT_DIFFERENTIATION_NUM_TER,MATCH(B3,PT_DIFFERENTIATION_TER_ID,0))</f>
      </c>
      <c s="1524" t="s">
        <v>397</v>
      </c>
      <c s="302"/>
      <c s="2244"/>
      <c s="2245"/>
      <c s="2245"/>
      <c s="2245"/>
      <c s="2245"/>
      <c s="2245"/>
      <c s="2245"/>
      <c s="2246"/>
      <c s="2244">
        <f>INDEX(PT_DIFFERENTIATION_TER,MATCH(B3,PT_DIFFERENTIATION_TER_ID,0))</f>
      </c>
      <c s="2245"/>
      <c s="2245"/>
      <c s="2245"/>
      <c s="2245"/>
      <c s="2245"/>
      <c s="2245"/>
      <c s="2245"/>
      <c s="2246"/>
      <c s="1260" t="s">
        <v>398</v>
      </c>
      <c r="AO3" s="1626"/>
      <c s="1626" t="str">
        <f>IF(T3="","",T3)</f>
        <v>Территория действия тарифа</v>
      </c>
      <c s="1626"/>
      <c s="1626"/>
      <c s="1633">
        <v>0</v>
      </c>
    </row>
    <row r="4" spans="1:45" ht="23.25" customHeight="1" hidden="1">
      <c r="A4" s="1269"/>
      <c s="1269"/>
      <c s="1269"/>
      <c s="1269"/>
      <c s="2292"/>
      <c s="2292"/>
      <c s="2291">
        <v>1</v>
      </c>
      <c s="1269"/>
      <c s="1269"/>
      <c s="1269"/>
      <c s="1269"/>
      <c s="1312"/>
      <c s="1612"/>
      <c s="1612"/>
      <c s="1612"/>
      <c s="356"/>
      <c s="354"/>
      <c s="355"/>
      <c s="1960">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1626"/>
      <c s="1626" t="str">
        <f>IF(T4="","",T4)</f>
        <v>Наименование системы теплоснабжения</v>
      </c>
      <c s="1626"/>
      <c s="1626"/>
      <c s="1633">
        <v>0</v>
      </c>
    </row>
    <row r="5" spans="1:45" ht="21" customHeight="1" hidden="1">
      <c r="A5" s="1269"/>
      <c s="1269"/>
      <c s="1269"/>
      <c s="1269"/>
      <c s="2292"/>
      <c s="2292"/>
      <c s="2292"/>
      <c s="2291">
        <v>1</v>
      </c>
      <c s="1269"/>
      <c s="1269"/>
      <c s="1269"/>
      <c s="1312"/>
      <c s="1612"/>
      <c s="1612"/>
      <c s="1612"/>
      <c s="356"/>
      <c s="354"/>
      <c s="355"/>
      <c s="1960">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1626"/>
      <c s="1626" t="str">
        <f>IF(T5="","",T5)</f>
        <v>Источник тепловой энергии</v>
      </c>
      <c s="1626"/>
      <c s="1626"/>
      <c s="1633">
        <v>0</v>
      </c>
    </row>
    <row r="6" spans="1:45" ht="47.25" customHeight="1" hidden="1">
      <c r="A6" s="1269"/>
      <c s="1269"/>
      <c s="1269"/>
      <c s="1269"/>
      <c s="2292"/>
      <c s="2292"/>
      <c s="2292"/>
      <c s="2292"/>
      <c s="2129">
        <f>S5&amp;".1"</f>
      </c>
      <c s="1269"/>
      <c s="1269"/>
      <c s="1312" t="s">
        <v>403</v>
      </c>
      <c s="1637"/>
      <c r="P6" s="2259">
        <v>1</v>
      </c>
      <c s="1956"/>
      <c s="358"/>
      <c s="1960">
        <f>$I6</f>
      </c>
      <c s="287" t="s">
        <v>404</v>
      </c>
      <c s="302"/>
      <c s="2247"/>
      <c s="2248"/>
      <c s="2248"/>
      <c s="2248"/>
      <c s="2248"/>
      <c s="2248"/>
      <c s="2248"/>
      <c s="2249"/>
      <c s="2247"/>
      <c s="2248"/>
      <c s="2248"/>
      <c s="2248"/>
      <c s="2248"/>
      <c s="2248"/>
      <c s="2248"/>
      <c s="2248"/>
      <c s="2249"/>
      <c s="1260" t="s">
        <v>405</v>
      </c>
      <c r="AO6" s="1626"/>
      <c s="1626" t="str">
        <f>IF(T6="","",T6)</f>
        <v>Схема подключения теплопотребляющей установки к коллектору источника тепловой энергии</v>
      </c>
      <c s="1626"/>
      <c s="1626"/>
      <c s="1633">
        <v>0</v>
      </c>
    </row>
    <row r="7" spans="1:45" ht="21" customHeight="1" hidden="1">
      <c r="A7" s="1269"/>
      <c s="1269"/>
      <c s="1269"/>
      <c s="1269"/>
      <c s="2292"/>
      <c s="2292"/>
      <c s="2292"/>
      <c s="2292"/>
      <c s="2103"/>
      <c s="2129">
        <f>I6&amp;".1"</f>
      </c>
      <c s="1269"/>
      <c s="1312" t="s">
        <v>406</v>
      </c>
      <c s="1637"/>
      <c s="1633"/>
      <c r="P7" s="2259"/>
      <c s="2259">
        <v>1</v>
      </c>
      <c s="359"/>
      <c s="1960">
        <f>$J7</f>
      </c>
      <c s="288" t="s">
        <v>407</v>
      </c>
      <c s="302"/>
      <c s="2247"/>
      <c s="2248"/>
      <c s="2248"/>
      <c s="2248"/>
      <c s="2248"/>
      <c s="2248"/>
      <c s="2248"/>
      <c s="2249"/>
      <c s="2247"/>
      <c s="2248"/>
      <c s="2248"/>
      <c s="2248"/>
      <c s="2248"/>
      <c s="2248"/>
      <c s="2248"/>
      <c s="2248"/>
      <c s="2249"/>
      <c s="1260" t="s">
        <v>408</v>
      </c>
      <c r="AO7" s="1626"/>
      <c s="1626" t="str">
        <f>IF(T7="","",T7)</f>
        <v>Группа потребителей</v>
      </c>
      <c s="1626"/>
      <c s="1626"/>
      <c s="1633">
        <v>0</v>
      </c>
    </row>
    <row r="8" spans="1:45" ht="21" customHeight="1" hidden="1">
      <c r="A8" s="1269"/>
      <c s="1269"/>
      <c s="1269"/>
      <c s="1269"/>
      <c s="2292"/>
      <c s="2292"/>
      <c s="2292"/>
      <c s="2292"/>
      <c s="2103"/>
      <c s="2103"/>
      <c s="2129">
        <f>J7&amp;".1"</f>
      </c>
      <c s="1312" t="s">
        <v>409</v>
      </c>
      <c s="1637"/>
      <c s="1633"/>
      <c s="1633"/>
      <c s="2259"/>
      <c s="2259"/>
      <c s="359">
        <v>1</v>
      </c>
      <c s="1960">
        <f>$K8</f>
      </c>
      <c s="1349"/>
      <c s="302"/>
      <c s="753"/>
      <c s="327"/>
      <c s="753"/>
      <c s="1259"/>
      <c s="2267"/>
      <c s="2109" t="s">
        <v>65</v>
      </c>
      <c s="2267"/>
      <c s="2109" t="s">
        <v>65</v>
      </c>
      <c s="753"/>
      <c s="327"/>
      <c s="753"/>
      <c s="1259"/>
      <c s="2267"/>
      <c s="2109" t="s">
        <v>65</v>
      </c>
      <c s="2267"/>
      <c s="2109" t="s">
        <v>65</v>
      </c>
      <c s="327"/>
      <c s="2255" t="s">
        <v>410</v>
      </c>
      <c s="1638">
        <f>STRCHECKDATE(V9:AL9)</f>
      </c>
      <c s="1626"/>
      <c s="1626" t="str">
        <f>IF(T8="","",T8)</f>
        <v/>
      </c>
      <c s="1626"/>
      <c s="1626"/>
      <c s="1633">
        <v>0</v>
      </c>
    </row>
    <row r="9" spans="1:45" ht="0.75" customHeight="1" hidden="1">
      <c r="A9" s="1269"/>
      <c s="1269"/>
      <c s="1269"/>
      <c s="1269"/>
      <c s="2292"/>
      <c s="2292"/>
      <c s="2292"/>
      <c s="2292"/>
      <c s="2103"/>
      <c s="2103"/>
      <c s="2129"/>
      <c s="1312"/>
      <c s="1637"/>
      <c s="1633"/>
      <c s="1633"/>
      <c s="2259"/>
      <c s="2259"/>
      <c s="359"/>
      <c s="1969"/>
      <c s="302"/>
      <c s="302"/>
      <c s="327"/>
      <c s="327"/>
      <c s="327"/>
      <c s="330" t="str">
        <f>Z8&amp;"-"&amp;AB8</f>
        <v>-</v>
      </c>
      <c s="2268"/>
      <c s="2109"/>
      <c s="2268"/>
      <c s="2109"/>
      <c s="327"/>
      <c s="327"/>
      <c s="327"/>
      <c s="330" t="str">
        <f>AH8&amp;"-"&amp;AJ8</f>
        <v>-</v>
      </c>
      <c s="2268"/>
      <c s="2109"/>
      <c s="2268"/>
      <c s="2109"/>
      <c s="327"/>
      <c s="2256"/>
      <c r="AO9" s="1626"/>
      <c s="1626" t="str">
        <f>IF(T9="","",T9)</f>
        <v/>
      </c>
      <c s="1626"/>
      <c s="1626"/>
      <c s="1633">
        <v>0</v>
      </c>
    </row>
    <row r="10" spans="1:45" ht="15" customHeight="1" hidden="1">
      <c r="A10" s="1269"/>
      <c s="1269"/>
      <c s="1269"/>
      <c s="1269"/>
      <c s="2292"/>
      <c s="2292"/>
      <c s="2292"/>
      <c s="2292"/>
      <c s="2103"/>
      <c s="2129"/>
      <c s="1269"/>
      <c s="1312"/>
      <c s="1637"/>
      <c s="1633"/>
      <c r="P10" s="2259"/>
      <c s="2259"/>
      <c s="358"/>
      <c s="1280"/>
      <c s="290" t="s">
        <v>411</v>
      </c>
      <c s="602"/>
      <c s="602"/>
      <c s="602"/>
      <c s="602"/>
      <c s="602"/>
      <c s="602"/>
      <c s="602"/>
      <c s="602"/>
      <c s="602"/>
      <c s="602"/>
      <c s="602"/>
      <c s="602"/>
      <c s="602"/>
      <c s="602"/>
      <c s="602"/>
      <c s="602"/>
      <c s="602"/>
      <c s="326"/>
      <c s="2257"/>
      <c r="AO10" s="1626"/>
      <c s="1626" t="str">
        <f>IF(T10="","",T10)</f>
        <v>Добавить вид теплоносителя (параметры теплоносителя)</v>
      </c>
      <c s="1626"/>
      <c s="1626"/>
      <c s="1633">
        <v>0</v>
      </c>
    </row>
    <row r="11" spans="1:45" ht="15" customHeight="1" hidden="1">
      <c r="A11" s="1269"/>
      <c s="1269"/>
      <c s="1269"/>
      <c s="1269"/>
      <c s="2292"/>
      <c s="2292"/>
      <c s="2292"/>
      <c s="2292"/>
      <c s="2129"/>
      <c s="1269"/>
      <c s="1269"/>
      <c s="1312"/>
      <c s="1637"/>
      <c r="P11" s="2259"/>
      <c s="1956"/>
      <c s="358"/>
      <c s="1280"/>
      <c s="289" t="s">
        <v>412</v>
      </c>
      <c s="602"/>
      <c s="602"/>
      <c s="602"/>
      <c s="602"/>
      <c s="602"/>
      <c s="602"/>
      <c s="602"/>
      <c s="602"/>
      <c s="368"/>
      <c s="602"/>
      <c s="602"/>
      <c s="602"/>
      <c s="602"/>
      <c s="602"/>
      <c s="602"/>
      <c s="602"/>
      <c s="368"/>
      <c s="602"/>
      <c s="305"/>
      <c r="AO11" s="1626"/>
      <c s="1626" t="str">
        <f>IF(T11="","",T11)</f>
        <v>Добавить группу потребителей</v>
      </c>
      <c s="1626"/>
      <c s="1626"/>
      <c s="1633">
        <v>0</v>
      </c>
    </row>
    <row r="12" spans="1:45" ht="14.25" customHeight="1" hidden="1">
      <c r="A12" s="1269"/>
      <c s="1269"/>
      <c s="1269"/>
      <c s="1269"/>
      <c s="2292"/>
      <c s="2292"/>
      <c s="2292"/>
      <c s="2291"/>
      <c s="1269"/>
      <c s="1269"/>
      <c s="1269"/>
      <c s="1312"/>
      <c s="1612"/>
      <c s="1612"/>
      <c s="1637"/>
      <c s="362"/>
      <c s="377"/>
      <c s="357"/>
      <c s="1280"/>
      <c s="367" t="s">
        <v>413</v>
      </c>
      <c s="602"/>
      <c s="602"/>
      <c s="602"/>
      <c s="602"/>
      <c s="602"/>
      <c s="602"/>
      <c s="602"/>
      <c s="602"/>
      <c s="368"/>
      <c s="602"/>
      <c s="602"/>
      <c s="602"/>
      <c s="602"/>
      <c s="602"/>
      <c s="602"/>
      <c s="602"/>
      <c s="368"/>
      <c s="602"/>
      <c s="305"/>
      <c r="AO12" s="1626"/>
      <c s="1626" t="str">
        <f>IF(T12="","",T12)</f>
        <v>Добавить схему подключения</v>
      </c>
      <c s="1626"/>
      <c s="1626"/>
      <c s="1633">
        <v>0</v>
      </c>
    </row>
    <row r="13" spans="1:45" s="1644" customFormat="1" ht="0.75" customHeight="1" hidden="1">
      <c r="A13" s="1976"/>
      <c s="1976"/>
      <c s="1976"/>
      <c s="1976"/>
      <c s="2292"/>
      <c s="2292"/>
      <c s="2291"/>
      <c s="1976"/>
      <c s="1976"/>
      <c s="1976"/>
      <c s="1976"/>
      <c s="1382"/>
      <c s="1612"/>
      <c s="1612"/>
      <c s="1637"/>
      <c s="1318"/>
      <c s="1319"/>
      <c s="1318"/>
      <c s="1320"/>
      <c s="1321" t="s">
        <v>414</v>
      </c>
      <c s="1322"/>
      <c s="1322"/>
      <c s="1322"/>
      <c s="1322"/>
      <c s="1322"/>
      <c s="1322"/>
      <c s="1322"/>
      <c s="1322"/>
      <c s="1322"/>
      <c s="1322"/>
      <c s="1322"/>
      <c s="1322"/>
      <c s="1322"/>
      <c s="1322"/>
      <c s="1322"/>
      <c s="1322"/>
      <c s="1322"/>
      <c s="1322"/>
      <c s="1322"/>
      <c r="AO13" s="1253"/>
      <c s="1253" t="str">
        <f>IF(T13="","",T13)</f>
        <v>Добавить источник для дифференциации</v>
      </c>
      <c s="1253"/>
      <c s="1253"/>
      <c s="1644">
        <v>0</v>
      </c>
    </row>
    <row r="14" spans="1:45" s="1644" customFormat="1" ht="0.75" customHeight="1" hidden="1">
      <c r="A14" s="1976"/>
      <c s="1976"/>
      <c s="1976"/>
      <c s="1976"/>
      <c s="2292"/>
      <c s="2291"/>
      <c s="1976"/>
      <c s="1976"/>
      <c s="1976"/>
      <c s="1976"/>
      <c s="1976"/>
      <c s="1382"/>
      <c s="1977"/>
      <c s="1977"/>
      <c s="1637"/>
      <c s="1318"/>
      <c s="1319"/>
      <c s="1318"/>
      <c s="1324"/>
      <c s="1325" t="s">
        <v>415</v>
      </c>
      <c s="1326"/>
      <c s="1326"/>
      <c s="1326"/>
      <c s="1326"/>
      <c s="1326"/>
      <c s="1326"/>
      <c s="1326"/>
      <c s="1326"/>
      <c s="1326"/>
      <c s="1326"/>
      <c s="1326"/>
      <c s="1326"/>
      <c s="1326"/>
      <c s="1326"/>
      <c s="1326"/>
      <c s="1326"/>
      <c s="1326"/>
      <c s="1326"/>
      <c s="1326"/>
      <c r="AO14" s="1253"/>
      <c s="1253" t="str">
        <f>IF(T14="","",T14)</f>
        <v>Добавить централизованную систему для дифференциации</v>
      </c>
      <c s="1253"/>
      <c s="1253"/>
      <c s="1644">
        <v>0</v>
      </c>
    </row>
    <row r="15" spans="1:45" s="1644" customFormat="1" ht="0.75" customHeight="1" hidden="1">
      <c r="A15" s="1976"/>
      <c s="1976"/>
      <c s="1976"/>
      <c s="1976"/>
      <c s="2291"/>
      <c s="1976"/>
      <c s="1976"/>
      <c s="1976"/>
      <c s="1976"/>
      <c s="1976"/>
      <c s="1976"/>
      <c s="1382"/>
      <c s="1977"/>
      <c s="1977"/>
      <c s="1637"/>
      <c s="1318"/>
      <c s="1319"/>
      <c s="1318"/>
      <c s="1324"/>
      <c s="1327" t="s">
        <v>416</v>
      </c>
      <c s="1326"/>
      <c s="1326"/>
      <c s="1326"/>
      <c s="1326"/>
      <c s="1326"/>
      <c s="1326"/>
      <c s="1326"/>
      <c s="1326"/>
      <c s="1326"/>
      <c s="1326"/>
      <c s="1326"/>
      <c s="1326"/>
      <c s="1326"/>
      <c s="1326"/>
      <c s="1326"/>
      <c s="1326"/>
      <c s="1326"/>
      <c s="1326"/>
      <c s="1326"/>
      <c r="AO15" s="1253"/>
      <c s="1253" t="str">
        <f>IF(T15="","",T15)</f>
        <v>Добавить территорию для дифференциации</v>
      </c>
      <c s="1253"/>
      <c s="1253"/>
      <c s="1644">
        <v>0</v>
      </c>
    </row>
    <row r="16" spans="45:45" ht="14.25" customHeight="1" hidden="1">
      <c r="AS16" s="1633">
        <v>0</v>
      </c>
    </row>
    <row r="17" spans="30:45" ht="14.25" customHeight="1" hidden="1">
      <c r="AD17" s="1362"/>
      <c s="1362"/>
      <c s="1362"/>
      <c s="1363"/>
      <c s="2269"/>
      <c s="2270" t="s">
        <v>65</v>
      </c>
      <c s="2269"/>
      <c s="2270" t="s">
        <v>65</v>
      </c>
      <c r="AS17" s="1633">
        <v>0</v>
      </c>
    </row>
    <row r="18" spans="30:45" ht="14.25" customHeight="1" hidden="1">
      <c r="AD18" s="1362"/>
      <c s="1362"/>
      <c s="1362"/>
      <c s="330" t="str">
        <f>AH17&amp;"-"&amp;AJ17</f>
        <v>-</v>
      </c>
      <c s="2270"/>
      <c s="2270"/>
      <c s="2270"/>
      <c s="2270"/>
      <c r="AS18" s="1633">
        <v>0</v>
      </c>
    </row>
    <row r="19" spans="45:45" ht="14.25" customHeight="1" hidden="1">
      <c r="AS19" s="1633">
        <v>0</v>
      </c>
    </row>
    <row r="20" spans="1:45" s="1368" customFormat="1" ht="14.25" customHeight="1" hidden="1">
      <c r="A20" s="1633"/>
      <c s="1633"/>
      <c s="1633"/>
      <c s="1633"/>
      <c s="1633"/>
      <c s="1633"/>
      <c s="1633"/>
      <c s="1633"/>
      <c s="1633"/>
      <c s="1633"/>
      <c s="1633"/>
      <c s="1941"/>
      <c s="1967"/>
      <c s="1967"/>
      <c s="1347" t="s">
        <v>417</v>
      </c>
      <c s="1364"/>
      <c s="1373"/>
      <c s="1373"/>
      <c s="731"/>
      <c r="Z20" s="1369"/>
      <c r="AB20" s="1369"/>
      <c r="AH20" s="1369"/>
      <c r="AJ20" s="1369"/>
      <c r="AN20" s="1638"/>
      <c s="1638"/>
      <c s="1638"/>
      <c s="1638"/>
      <c s="1638"/>
      <c s="1368">
        <v>0</v>
      </c>
    </row>
    <row r="21" spans="1:45" s="1368" customFormat="1" ht="14.25" customHeight="1" hidden="1">
      <c r="A21" s="1633"/>
      <c s="1633"/>
      <c s="1633"/>
      <c s="1633"/>
      <c s="1633"/>
      <c s="1633"/>
      <c s="1633"/>
      <c s="1633"/>
      <c s="1633"/>
      <c s="1633"/>
      <c s="1633"/>
      <c s="1941"/>
      <c s="1967"/>
      <c s="1967"/>
      <c s="1967"/>
      <c s="1364"/>
      <c s="1373"/>
      <c s="1373"/>
      <c s="731"/>
      <c r="AN21" s="1638"/>
      <c s="1638"/>
      <c s="1638"/>
      <c s="1638"/>
      <c s="1638"/>
      <c s="1368">
        <v>0</v>
      </c>
    </row>
    <row r="22" spans="1:45" s="1368" customFormat="1" ht="14.25" customHeight="1" hidden="1">
      <c r="A22" s="1633"/>
      <c s="1633"/>
      <c s="1633"/>
      <c s="1633"/>
      <c s="1633"/>
      <c s="1633"/>
      <c s="1633"/>
      <c s="1633"/>
      <c s="1633"/>
      <c s="1633"/>
      <c s="1633"/>
      <c s="1941"/>
      <c s="1967"/>
      <c s="1967"/>
      <c s="1312" t="s">
        <v>418</v>
      </c>
      <c s="1364"/>
      <c s="1373"/>
      <c s="1373"/>
      <c s="731"/>
      <c s="1368" t="s">
        <v>419</v>
      </c>
      <c r="AA22" s="597" t="s">
        <v>420</v>
      </c>
      <c r="AC22" s="597" t="s">
        <v>421</v>
      </c>
      <c s="1368" t="s">
        <v>419</v>
      </c>
      <c r="AI22" s="597" t="s">
        <v>422</v>
      </c>
      <c r="AK22" s="597" t="s">
        <v>421</v>
      </c>
      <c r="AN22" s="1638"/>
      <c s="1638"/>
      <c s="1638"/>
      <c s="1638"/>
      <c s="1638"/>
      <c s="1368">
        <v>0</v>
      </c>
    </row>
    <row r="23" spans="15:45" ht="14.25" customHeight="1" hidden="1">
      <c r="O23" s="1312"/>
      <c r="AS23" s="1633">
        <v>0</v>
      </c>
    </row>
    <row r="24" spans="15:45" ht="14.25" customHeight="1" hidden="1">
      <c r="O24" s="1312"/>
      <c r="AS24" s="1633">
        <v>0</v>
      </c>
    </row>
    <row r="25" spans="17:45" ht="14.7" customHeight="1">
      <c r="Q25" s="378"/>
      <c s="378"/>
      <c s="1277"/>
      <c s="459"/>
      <c s="459"/>
      <c s="1637"/>
      <c s="1637"/>
      <c s="1637"/>
      <c s="1637"/>
      <c s="1637"/>
      <c s="1637"/>
      <c s="1637"/>
      <c s="1637"/>
      <c s="1637"/>
      <c s="1637"/>
      <c s="1637"/>
      <c s="1637"/>
      <c s="1637"/>
      <c s="1637"/>
      <c s="1637"/>
      <c s="1637"/>
      <c r="AS25" s="1633">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633">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633">
        <v>14</v>
      </c>
    </row>
    <row r="28" spans="17:45" ht="14.25" customHeight="1" hidden="1">
      <c r="Q28" s="378"/>
      <c s="378"/>
      <c s="1277"/>
      <c s="459"/>
      <c s="459"/>
      <c s="324"/>
      <c s="324"/>
      <c s="324"/>
      <c s="324"/>
      <c s="324"/>
      <c s="324"/>
      <c s="324"/>
      <c s="324"/>
      <c s="324"/>
      <c s="324"/>
      <c s="324"/>
      <c s="324"/>
      <c s="324"/>
      <c s="324"/>
      <c s="324"/>
      <c s="324"/>
      <c s="1637"/>
      <c r="AS28" s="1633">
        <v>0</v>
      </c>
    </row>
    <row r="29" spans="1:45" s="1855" customFormat="1" ht="25.5" customHeight="1" hidden="1">
      <c r="A29" s="1250"/>
      <c s="1250"/>
      <c s="1250"/>
      <c s="1250"/>
      <c s="1250"/>
      <c s="1250"/>
      <c s="1250"/>
      <c s="1250"/>
      <c s="1250"/>
      <c s="1250"/>
      <c s="1250"/>
      <c s="1382"/>
      <c s="1250"/>
      <c s="1250"/>
      <c s="1250"/>
      <c r="S29" s="2252" t="s">
        <v>42</v>
      </c>
      <c s="2252"/>
      <c s="1374"/>
      <c s="2253" t="str">
        <f>IF(TITLE_NAME_OR_PR_CHANGE="",IF(TITLE_NAME_OR_PR="","",TITLE_NAME_OR_PR),TITLE_NAME_OR_PR_CHANGE)</f>
        <v/>
      </c>
      <c s="2253"/>
      <c s="2253"/>
      <c s="2253"/>
      <c s="2253"/>
      <c s="2253"/>
      <c s="2253"/>
      <c s="1637"/>
      <c s="2253" t="str">
        <f>IF(TITLE_NAME_OR_PR_CHANGE="",IF(TITLE_NAME_OR_PR="","",TITLE_NAME_OR_PR),TITLE_NAME_OR_PR_CHANGE)</f>
        <v/>
      </c>
      <c s="2253"/>
      <c s="2253"/>
      <c s="2253"/>
      <c s="2253"/>
      <c s="2253"/>
      <c s="2253"/>
      <c s="1637"/>
      <c s="1637"/>
      <c s="282"/>
      <c s="370"/>
      <c s="370"/>
      <c s="370"/>
      <c s="370"/>
      <c s="370"/>
      <c s="420">
        <v>0</v>
      </c>
    </row>
    <row r="30" spans="1:45" s="1855" customFormat="1" ht="18.75" customHeight="1" hidden="1">
      <c r="A30" s="1250"/>
      <c s="1250"/>
      <c s="1250"/>
      <c s="1250"/>
      <c s="1250"/>
      <c s="1250"/>
      <c s="1250"/>
      <c s="1250"/>
      <c s="1250"/>
      <c s="1250"/>
      <c s="1250"/>
      <c s="1382"/>
      <c s="1250"/>
      <c s="1250"/>
      <c s="1250"/>
      <c r="S30" s="2252" t="s">
        <v>423</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1" spans="1:45" s="1855" customFormat="1" ht="18.75" customHeight="1" hidden="1">
      <c r="A31" s="1250"/>
      <c s="1250"/>
      <c s="1250"/>
      <c s="1250"/>
      <c s="1250"/>
      <c s="1250"/>
      <c s="1250"/>
      <c s="1250"/>
      <c s="1250"/>
      <c s="1250"/>
      <c s="1250"/>
      <c s="1382"/>
      <c s="1250"/>
      <c s="1250"/>
      <c s="1250"/>
      <c r="S31" s="2252" t="s">
        <v>424</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2" spans="1:45" s="1855" customFormat="1" ht="18.75" customHeight="1" hidden="1">
      <c r="A32" s="1250"/>
      <c s="1250"/>
      <c s="1250"/>
      <c s="1250"/>
      <c s="1250"/>
      <c s="1250"/>
      <c s="1250"/>
      <c s="1250"/>
      <c s="1250"/>
      <c s="1250"/>
      <c s="1250"/>
      <c s="1382"/>
      <c s="1250"/>
      <c s="1250"/>
      <c s="1250"/>
      <c r="S32" s="2252" t="s">
        <v>43</v>
      </c>
      <c s="2252"/>
      <c s="1374"/>
      <c s="2253" t="str">
        <f>IF(TITLE_IST_PUB_CHANGE="",IF(TITLE_IST_PUB="","",TITLE_IST_PUB),TITLE_IST_PUB_CHANGE)</f>
        <v/>
      </c>
      <c s="2253"/>
      <c s="2253"/>
      <c s="2253"/>
      <c s="2253"/>
      <c s="2253"/>
      <c s="2253"/>
      <c s="1637"/>
      <c s="2253" t="str">
        <f>IF(TITLE_IST_PUB_CHANGE="",IF(TITLE_IST_PUB="","",TITLE_IST_PUB),TITLE_IST_PUB_CHANGE)</f>
        <v/>
      </c>
      <c s="2253"/>
      <c s="2253"/>
      <c s="2253"/>
      <c s="2253"/>
      <c s="2253"/>
      <c s="2253"/>
      <c s="1637"/>
      <c s="1637"/>
      <c s="282"/>
      <c s="370"/>
      <c s="370"/>
      <c s="370"/>
      <c s="370"/>
      <c s="370"/>
      <c s="420">
        <v>0</v>
      </c>
    </row>
    <row r="33" spans="17:45" ht="14.25" customHeight="1" hidden="1">
      <c r="Q33" s="378"/>
      <c s="378"/>
      <c s="1277"/>
      <c s="459"/>
      <c s="459"/>
      <c s="324"/>
      <c s="324"/>
      <c s="324"/>
      <c s="324"/>
      <c s="324"/>
      <c s="324"/>
      <c s="324"/>
      <c s="324"/>
      <c s="324"/>
      <c s="324"/>
      <c s="324"/>
      <c s="324"/>
      <c s="324"/>
      <c s="324"/>
      <c s="324"/>
      <c s="324"/>
      <c s="1637"/>
      <c r="AS33" s="1633">
        <v>0</v>
      </c>
    </row>
    <row r="34" spans="1:45" s="1855" customFormat="1" ht="18.75" customHeight="1" hidden="1">
      <c r="A34" s="1250"/>
      <c s="1250"/>
      <c s="1250"/>
      <c s="1250"/>
      <c s="1250"/>
      <c s="1250"/>
      <c s="1250"/>
      <c s="1250"/>
      <c s="1250"/>
      <c s="1250"/>
      <c s="1250"/>
      <c s="1382"/>
      <c s="1250"/>
      <c s="1250"/>
      <c s="1250"/>
      <c r="S34" s="2252" t="s">
        <v>425</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5" spans="1:45" s="1855" customFormat="1" ht="18.75" customHeight="1" hidden="1">
      <c r="A35" s="1250"/>
      <c s="1250"/>
      <c s="1250"/>
      <c s="1250"/>
      <c s="1250"/>
      <c s="1250"/>
      <c s="1250"/>
      <c s="1250"/>
      <c s="1250"/>
      <c s="1250"/>
      <c s="1250"/>
      <c s="1382"/>
      <c s="1250"/>
      <c s="1250"/>
      <c s="1250"/>
      <c r="S35" s="2252" t="s">
        <v>426</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6" spans="1:45" s="1855" customFormat="1" ht="0" customHeight="1">
      <c r="A36" s="1250"/>
      <c s="1250"/>
      <c s="1250"/>
      <c s="1250"/>
      <c s="1250"/>
      <c s="1250"/>
      <c s="1250"/>
      <c s="1250"/>
      <c s="1250"/>
      <c s="1250"/>
      <c s="1250"/>
      <c s="1382"/>
      <c s="1250"/>
      <c s="1250"/>
      <c s="1250"/>
      <c r="S36" s="1637"/>
      <c s="1637"/>
      <c s="1972"/>
      <c s="1637"/>
      <c s="1637"/>
      <c s="1637"/>
      <c s="1637"/>
      <c s="1637"/>
      <c s="1637"/>
      <c s="1637"/>
      <c s="1644" t="s">
        <v>427</v>
      </c>
      <c s="1637"/>
      <c s="1637"/>
      <c s="1637"/>
      <c s="1637"/>
      <c s="1637"/>
      <c s="1637"/>
      <c s="1637"/>
      <c s="1644" t="s">
        <v>427</v>
      </c>
      <c r="AN36" s="370"/>
      <c s="370"/>
      <c s="370"/>
      <c s="370"/>
      <c s="370"/>
      <c s="420">
        <v>0</v>
      </c>
    </row>
    <row r="37" spans="17:45" ht="14.7" customHeight="1">
      <c r="Q37" s="378"/>
      <c s="378"/>
      <c s="1277"/>
      <c s="459"/>
      <c s="1246"/>
      <c s="2254"/>
      <c s="2254"/>
      <c s="2254"/>
      <c s="2254"/>
      <c s="2254"/>
      <c s="2254"/>
      <c s="2254"/>
      <c s="2254"/>
      <c s="2254"/>
      <c s="2254"/>
      <c s="2254"/>
      <c s="2254"/>
      <c s="2254"/>
      <c s="2254"/>
      <c s="2254"/>
      <c s="2254"/>
      <c r="AS37" s="1633">
        <v>14</v>
      </c>
    </row>
    <row r="38" spans="17:45" ht="14.7" customHeight="1">
      <c r="Q38" s="378"/>
      <c s="378"/>
      <c s="2129" t="s">
        <v>300</v>
      </c>
      <c s="2129"/>
      <c s="2129"/>
      <c s="2129"/>
      <c s="2129"/>
      <c s="2129"/>
      <c s="2129"/>
      <c s="2129"/>
      <c s="2129"/>
      <c s="2129"/>
      <c s="2129"/>
      <c s="2129"/>
      <c s="2129"/>
      <c s="2129"/>
      <c s="2129"/>
      <c s="2129"/>
      <c s="2129"/>
      <c s="2129"/>
      <c s="2129"/>
      <c s="2129"/>
      <c s="2129" t="s">
        <v>301</v>
      </c>
      <c r="AS38" s="1633">
        <v>14</v>
      </c>
    </row>
    <row r="39" spans="17:45" ht="14.7" customHeight="1">
      <c r="Q39" s="378"/>
      <c s="378"/>
      <c s="2275" t="s">
        <v>87</v>
      </c>
      <c s="2211" t="s">
        <v>428</v>
      </c>
      <c s="339"/>
      <c s="2276" t="s">
        <v>429</v>
      </c>
      <c s="2277"/>
      <c s="2277"/>
      <c s="2277"/>
      <c s="2277"/>
      <c s="2277"/>
      <c s="2278"/>
      <c s="2279" t="s">
        <v>430</v>
      </c>
      <c s="2276" t="s">
        <v>429</v>
      </c>
      <c s="2277"/>
      <c s="2277"/>
      <c s="2277"/>
      <c s="2277"/>
      <c s="2277"/>
      <c s="2278"/>
      <c s="2279" t="s">
        <v>431</v>
      </c>
      <c s="2282" t="s">
        <v>432</v>
      </c>
      <c s="2129"/>
      <c r="AS39" s="1633">
        <v>14</v>
      </c>
    </row>
    <row r="40" spans="17:45" ht="35.7" customHeight="1">
      <c r="Q40" s="378"/>
      <c s="378"/>
      <c s="2275"/>
      <c s="2211"/>
      <c s="1033"/>
      <c s="2262" t="s">
        <v>433</v>
      </c>
      <c s="2285" t="s">
        <v>434</v>
      </c>
      <c s="2264" t="s">
        <v>435</v>
      </c>
      <c s="2265"/>
      <c s="2264" t="s">
        <v>449</v>
      </c>
      <c s="2271"/>
      <c s="2265"/>
      <c s="2280"/>
      <c s="2262" t="s">
        <v>433</v>
      </c>
      <c s="2285" t="s">
        <v>434</v>
      </c>
      <c s="2264" t="s">
        <v>435</v>
      </c>
      <c s="2265"/>
      <c s="2264" t="s">
        <v>436</v>
      </c>
      <c s="2271"/>
      <c s="2265"/>
      <c s="2280"/>
      <c s="2283"/>
      <c s="2129"/>
      <c r="AS40" s="1633">
        <v>34</v>
      </c>
    </row>
    <row r="41" spans="1:45" ht="35.7" customHeight="1">
      <c r="A41" s="1268"/>
      <c s="1268" t="s">
        <v>137</v>
      </c>
      <c s="1268" t="s">
        <v>138</v>
      </c>
      <c s="1268" t="s">
        <v>139</v>
      </c>
      <c s="1312" t="s">
        <v>437</v>
      </c>
      <c s="1312" t="s">
        <v>438</v>
      </c>
      <c s="1312" t="s">
        <v>439</v>
      </c>
      <c s="1312" t="s">
        <v>440</v>
      </c>
      <c s="1312" t="s">
        <v>441</v>
      </c>
      <c s="1312" t="s">
        <v>442</v>
      </c>
      <c s="1312" t="s">
        <v>443</v>
      </c>
      <c s="1312" t="s">
        <v>418</v>
      </c>
      <c r="Q41" s="378"/>
      <c s="378"/>
      <c s="2275"/>
      <c s="2211"/>
      <c s="304"/>
      <c s="2263"/>
      <c s="2286"/>
      <c s="1940" t="s">
        <v>444</v>
      </c>
      <c s="1940" t="s">
        <v>445</v>
      </c>
      <c s="1940" t="s">
        <v>446</v>
      </c>
      <c s="2272" t="s">
        <v>447</v>
      </c>
      <c s="2273"/>
      <c s="2281"/>
      <c s="2263"/>
      <c s="2286"/>
      <c s="1940" t="s">
        <v>444</v>
      </c>
      <c s="1940" t="s">
        <v>445</v>
      </c>
      <c s="1940" t="s">
        <v>446</v>
      </c>
      <c s="2272" t="s">
        <v>447</v>
      </c>
      <c s="2273"/>
      <c s="2281"/>
      <c s="2284"/>
      <c s="2129"/>
      <c r="AS41" s="1633">
        <v>34</v>
      </c>
    </row>
    <row r="42" spans="1:45" s="1643" customFormat="1" ht="11.25" customHeight="1" hidden="1">
      <c r="A42" s="1268"/>
      <c s="1268"/>
      <c s="1268"/>
      <c s="1268"/>
      <c s="1268"/>
      <c s="1268"/>
      <c s="1268"/>
      <c s="1268"/>
      <c s="1268"/>
      <c s="1268"/>
      <c s="1268"/>
      <c s="1312"/>
      <c s="1967"/>
      <c s="1967"/>
      <c s="1967"/>
      <c s="1248"/>
      <c s="1249"/>
      <c s="1256">
        <v>1</v>
      </c>
      <c s="1279" t="s">
        <v>109</v>
      </c>
      <c s="1257" t="s">
        <v>110</v>
      </c>
      <c s="1247" t="str">
        <f ca="1">OFFSET(U42,0,-1)</f>
        <v>2</v>
      </c>
      <c s="1958">
        <f ca="1">OFFSET(V42,0,-1)+1</f>
        <v>3</v>
      </c>
      <c s="1958"/>
      <c s="1958">
        <f ca="1">OFFSET(X42,0,-1)+1</f>
        <v>1</v>
      </c>
      <c s="1958">
        <f ca="1">OFFSET(Y42,0,-1)+1</f>
        <v>2</v>
      </c>
      <c s="1958">
        <f ca="1">OFFSET(Z42,0,-1)+1</f>
        <v>3</v>
      </c>
      <c s="2274">
        <f ca="1">OFFSET(AA42,0,-1)+1</f>
        <v>4</v>
      </c>
      <c s="2274"/>
      <c s="1958">
        <f ca="1">OFFSET(AC42,0,-2)+1</f>
        <v>5</v>
      </c>
      <c s="1958">
        <f ca="1">OFFSET(AD42,0,-1)+1</f>
        <v>6</v>
      </c>
      <c s="1958"/>
      <c s="1958">
        <f ca="1">OFFSET(AF42,0,-1)+1</f>
        <v>1</v>
      </c>
      <c s="1958">
        <f ca="1">OFFSET(AG42,0,-1)+1</f>
        <v>2</v>
      </c>
      <c s="1958">
        <f ca="1">OFFSET(AH42,0,-1)+1</f>
        <v>3</v>
      </c>
      <c s="2274">
        <f ca="1">OFFSET(AI42,0,-1)+1</f>
        <v>4</v>
      </c>
      <c s="2274"/>
      <c s="1958">
        <f ca="1">OFFSET(AK42,0,-2)+1</f>
        <v>5</v>
      </c>
      <c s="1247">
        <f ca="1">OFFSET(AL42,0,-1)</f>
        <v>5</v>
      </c>
      <c s="1958">
        <f ca="1">OFFSET(AM42,0,-1)+1</f>
        <v>6</v>
      </c>
      <c s="1638"/>
      <c s="1638"/>
      <c s="1638"/>
      <c s="1638"/>
      <c s="1638"/>
      <c s="1643">
        <v>0</v>
      </c>
    </row>
    <row r="43" spans="1:45" ht="22.05" customHeight="1">
      <c r="A43" s="1269" t="s">
        <v>212</v>
      </c>
      <c s="1269"/>
      <c s="1269"/>
      <c s="1269"/>
      <c s="2291">
        <v>1</v>
      </c>
      <c s="1269"/>
      <c s="1269"/>
      <c s="1269"/>
      <c s="1269"/>
      <c s="1269"/>
      <c s="1269"/>
      <c s="1312"/>
      <c s="1612"/>
      <c s="1612"/>
      <c s="1612"/>
      <c s="1592"/>
      <c s="362"/>
      <c s="357"/>
      <c s="1960">
        <f>INDEX(PT_DIFFERENTIATION_NUM_NTAR,MATCH(A43,PT_DIFFERENTIATION_NTAR_ID,0))</f>
        <v>0</v>
      </c>
      <c s="1527"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s="1626" t="str">
        <f>IF(T43="","",T43)</f>
        <v>Наименование тарифа</v>
      </c>
      <c s="1626"/>
      <c s="1626"/>
      <c s="1633">
        <v>21</v>
      </c>
    </row>
    <row r="44" spans="1:45" ht="22.05" customHeight="1">
      <c r="A44" s="1269" t="s">
        <v>212</v>
      </c>
      <c s="1269" t="s">
        <v>213</v>
      </c>
      <c s="1269"/>
      <c s="1269"/>
      <c s="2292"/>
      <c s="2291">
        <v>1</v>
      </c>
      <c s="1269"/>
      <c s="1269"/>
      <c s="1269"/>
      <c s="1269"/>
      <c s="1269"/>
      <c s="1312"/>
      <c s="1612"/>
      <c s="1612"/>
      <c s="1612"/>
      <c s="1942"/>
      <c s="354"/>
      <c s="355"/>
      <c s="1960" t="str">
        <f>INDEX(PT_DIFFERENTIATION_NUM_TER,MATCH(B44,PT_DIFFERENTIATION_TER_ID,0))</f>
        <v>.</v>
      </c>
      <c s="1524" t="s">
        <v>397</v>
      </c>
      <c s="302"/>
      <c s="2244"/>
      <c s="2245"/>
      <c s="2245"/>
      <c s="2245"/>
      <c s="2245"/>
      <c s="2245"/>
      <c s="2245"/>
      <c s="2246"/>
      <c s="2244" t="str">
        <f>INDEX(PT_DIFFERENTIATION_TER,MATCH(B44,PT_DIFFERENTIATION_TER_ID,0))</f>
        <v/>
      </c>
      <c s="2245"/>
      <c s="2245"/>
      <c s="2245"/>
      <c s="2245"/>
      <c s="2245"/>
      <c s="2245"/>
      <c s="2245"/>
      <c s="2246"/>
      <c s="1260" t="s">
        <v>398</v>
      </c>
      <c r="AO44" s="1626"/>
      <c s="1626" t="str">
        <f>IF(T44="","",T44)</f>
        <v>Территория действия тарифа</v>
      </c>
      <c s="1626"/>
      <c s="1626"/>
      <c s="1633">
        <v>21</v>
      </c>
    </row>
    <row r="45" spans="1:45" ht="24" customHeight="1">
      <c r="A45" s="1269" t="s">
        <v>212</v>
      </c>
      <c s="1269" t="s">
        <v>213</v>
      </c>
      <c s="1269" t="s">
        <v>214</v>
      </c>
      <c s="1269"/>
      <c s="2292"/>
      <c s="2292"/>
      <c s="2291">
        <v>1</v>
      </c>
      <c s="1269"/>
      <c s="1269"/>
      <c s="1269"/>
      <c s="1269"/>
      <c s="1312"/>
      <c s="1612"/>
      <c s="1612"/>
      <c s="1612"/>
      <c s="356"/>
      <c s="354"/>
      <c s="355"/>
      <c s="1960"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1626"/>
      <c s="1626" t="str">
        <f>IF(T45="","",T45)</f>
        <v>Наименование системы теплоснабжения</v>
      </c>
      <c s="1626"/>
      <c s="1626"/>
      <c s="1633">
        <v>23</v>
      </c>
    </row>
    <row r="46" spans="1:45" ht="22.05" customHeight="1">
      <c r="A46" s="1269" t="s">
        <v>212</v>
      </c>
      <c s="1269" t="s">
        <v>213</v>
      </c>
      <c s="1269" t="s">
        <v>214</v>
      </c>
      <c s="1269" t="s">
        <v>215</v>
      </c>
      <c s="2292"/>
      <c s="2292"/>
      <c s="2292"/>
      <c s="2291">
        <v>1</v>
      </c>
      <c s="1269"/>
      <c s="1269"/>
      <c s="1269"/>
      <c s="1312"/>
      <c s="1612"/>
      <c s="1612"/>
      <c s="1612"/>
      <c s="356"/>
      <c s="354"/>
      <c s="355"/>
      <c s="1960"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1626"/>
      <c s="1626" t="str">
        <f>IF(T46="","",T46)</f>
        <v>Источник тепловой энергии</v>
      </c>
      <c s="1626"/>
      <c s="1626"/>
      <c s="1633">
        <v>21</v>
      </c>
    </row>
    <row r="47" spans="1:45" ht="49.5" customHeight="1">
      <c r="A47" s="1269" t="s">
        <v>212</v>
      </c>
      <c s="1269" t="s">
        <v>213</v>
      </c>
      <c s="1269" t="s">
        <v>214</v>
      </c>
      <c s="1269" t="s">
        <v>215</v>
      </c>
      <c s="2292"/>
      <c s="2292"/>
      <c s="2292"/>
      <c s="2292"/>
      <c s="2129" t="str">
        <f>S46&amp;".1"</f>
        <v>....1</v>
      </c>
      <c s="1269"/>
      <c s="1269"/>
      <c s="1312" t="s">
        <v>403</v>
      </c>
      <c r="P47" s="2259">
        <v>1</v>
      </c>
      <c s="1956"/>
      <c s="358"/>
      <c s="1960" t="str">
        <f>$I47</f>
        <v>....1</v>
      </c>
      <c s="287" t="s">
        <v>404</v>
      </c>
      <c s="302"/>
      <c s="2247"/>
      <c s="2248"/>
      <c s="2248"/>
      <c s="2248"/>
      <c s="2248"/>
      <c s="2248"/>
      <c s="2248"/>
      <c s="2249"/>
      <c s="2247"/>
      <c s="2248"/>
      <c s="2248"/>
      <c s="2248"/>
      <c s="2248"/>
      <c s="2248"/>
      <c s="2248"/>
      <c s="2248"/>
      <c s="2249"/>
      <c s="1260" t="s">
        <v>405</v>
      </c>
      <c r="AO47" s="1626"/>
      <c s="1626" t="str">
        <f>IF(T47="","",T47)</f>
        <v>Схема подключения теплопотребляющей установки к коллектору источника тепловой энергии</v>
      </c>
      <c s="1626"/>
      <c s="1626"/>
      <c s="1633">
        <v>47</v>
      </c>
    </row>
    <row r="48" spans="1:45" ht="22.05" customHeight="1">
      <c r="A48" s="1269" t="s">
        <v>212</v>
      </c>
      <c s="1269" t="s">
        <v>213</v>
      </c>
      <c s="1269" t="s">
        <v>214</v>
      </c>
      <c s="1269" t="s">
        <v>215</v>
      </c>
      <c s="2292"/>
      <c s="2292"/>
      <c s="2292"/>
      <c s="2292"/>
      <c s="2103"/>
      <c s="2129" t="str">
        <f>I47&amp;".1"</f>
        <v>....1.1</v>
      </c>
      <c s="1269"/>
      <c s="1312" t="s">
        <v>406</v>
      </c>
      <c r="P48" s="2259"/>
      <c s="2259">
        <v>1</v>
      </c>
      <c s="359"/>
      <c s="1960" t="str">
        <f>$J48</f>
        <v>....1.1</v>
      </c>
      <c s="288" t="s">
        <v>407</v>
      </c>
      <c s="302"/>
      <c s="2247"/>
      <c s="2248"/>
      <c s="2248"/>
      <c s="2248"/>
      <c s="2248"/>
      <c s="2248"/>
      <c s="2248"/>
      <c s="2249"/>
      <c s="2247"/>
      <c s="2248"/>
      <c s="2248"/>
      <c s="2248"/>
      <c s="2248"/>
      <c s="2248"/>
      <c s="2248"/>
      <c s="2248"/>
      <c s="2249"/>
      <c s="1260" t="s">
        <v>408</v>
      </c>
      <c r="AO48" s="1626"/>
      <c s="1626" t="str">
        <f>IF(T48="","",T48)</f>
        <v>Группа потребителей</v>
      </c>
      <c s="1626"/>
      <c s="1626"/>
      <c s="1633">
        <v>21</v>
      </c>
    </row>
    <row r="49" spans="1:45" ht="22.05" customHeight="1">
      <c r="A49" s="1269" t="s">
        <v>212</v>
      </c>
      <c s="1269" t="s">
        <v>213</v>
      </c>
      <c s="1269" t="s">
        <v>214</v>
      </c>
      <c s="1269" t="s">
        <v>215</v>
      </c>
      <c s="2292"/>
      <c s="2292"/>
      <c s="2292"/>
      <c s="2292"/>
      <c s="2103"/>
      <c s="2103"/>
      <c s="2129" t="str">
        <f>J48&amp;".1"</f>
        <v>....1.1.1</v>
      </c>
      <c s="1312" t="s">
        <v>409</v>
      </c>
      <c r="P49" s="2259"/>
      <c s="2259"/>
      <c s="359">
        <v>1</v>
      </c>
      <c s="1960" t="str">
        <f>$K49</f>
        <v>....1.1.1</v>
      </c>
      <c s="1349"/>
      <c s="302"/>
      <c s="753"/>
      <c s="327"/>
      <c s="753"/>
      <c s="1259"/>
      <c s="2267"/>
      <c s="2109" t="s">
        <v>65</v>
      </c>
      <c s="2267"/>
      <c s="2109" t="s">
        <v>65</v>
      </c>
      <c s="753"/>
      <c s="327"/>
      <c s="753"/>
      <c s="1259"/>
      <c s="2267"/>
      <c s="2109" t="s">
        <v>65</v>
      </c>
      <c s="2289"/>
      <c s="2109" t="s">
        <v>65</v>
      </c>
      <c s="1350"/>
      <c s="2255" t="s">
        <v>410</v>
      </c>
      <c s="1638">
        <f>STRCHECKDATE(V50:AL50)</f>
      </c>
      <c s="1626"/>
      <c s="1626" t="str">
        <f>IF(T49="","",T49)</f>
        <v/>
      </c>
      <c s="1626"/>
      <c s="1626"/>
      <c s="1633">
        <v>21</v>
      </c>
    </row>
    <row r="50" spans="1:45" ht="1.05" customHeight="1">
      <c r="A50" s="1269" t="s">
        <v>212</v>
      </c>
      <c s="1269" t="s">
        <v>213</v>
      </c>
      <c s="1269" t="s">
        <v>214</v>
      </c>
      <c s="1269" t="s">
        <v>215</v>
      </c>
      <c s="2292"/>
      <c s="2292"/>
      <c s="2292"/>
      <c s="2292"/>
      <c s="2103"/>
      <c s="2103"/>
      <c s="2129"/>
      <c s="1312"/>
      <c r="P50" s="2259"/>
      <c s="2259"/>
      <c s="359"/>
      <c s="1969"/>
      <c s="302"/>
      <c s="302"/>
      <c s="327"/>
      <c s="327"/>
      <c s="327"/>
      <c s="330" t="str">
        <f>Z49&amp;"-"&amp;AB49</f>
        <v>-</v>
      </c>
      <c s="2268"/>
      <c s="2109"/>
      <c s="2268"/>
      <c s="2109"/>
      <c s="327"/>
      <c s="327"/>
      <c s="327"/>
      <c s="330" t="str">
        <f>AH49&amp;"-"&amp;AJ49</f>
        <v>-</v>
      </c>
      <c s="2268"/>
      <c s="2109"/>
      <c s="2290"/>
      <c s="2109"/>
      <c s="1351"/>
      <c s="2256"/>
      <c r="AO50" s="1626"/>
      <c s="1626" t="str">
        <f>IF(T50="","",T50)</f>
        <v/>
      </c>
      <c s="1626"/>
      <c s="1626"/>
      <c s="1633">
        <v>1</v>
      </c>
    </row>
    <row r="51" spans="1:45" ht="11.55" customHeight="1">
      <c r="A51" s="1269" t="s">
        <v>212</v>
      </c>
      <c s="1269" t="s">
        <v>213</v>
      </c>
      <c s="1269" t="s">
        <v>214</v>
      </c>
      <c s="1269" t="s">
        <v>215</v>
      </c>
      <c s="2292"/>
      <c s="2292"/>
      <c s="2292"/>
      <c s="2292"/>
      <c s="2103"/>
      <c s="2129"/>
      <c s="1269"/>
      <c s="1312"/>
      <c r="P51" s="2259"/>
      <c s="2259"/>
      <c s="358"/>
      <c s="1280"/>
      <c s="290" t="s">
        <v>411</v>
      </c>
      <c s="602"/>
      <c s="602"/>
      <c s="602"/>
      <c s="602"/>
      <c s="602"/>
      <c s="602"/>
      <c s="602"/>
      <c s="602"/>
      <c s="602"/>
      <c s="602"/>
      <c s="602"/>
      <c s="602"/>
      <c s="602"/>
      <c s="602"/>
      <c s="602"/>
      <c s="602"/>
      <c s="602"/>
      <c s="326"/>
      <c s="2257"/>
      <c r="AO51" s="1626"/>
      <c s="1626" t="str">
        <f>IF(T51="","",T51)</f>
        <v>Добавить вид теплоносителя (параметры теплоносителя)</v>
      </c>
      <c s="1626"/>
      <c s="1626"/>
      <c s="1633">
        <v>11</v>
      </c>
    </row>
    <row r="52" spans="1:45" ht="11.55" customHeight="1">
      <c r="A52" s="1269" t="s">
        <v>212</v>
      </c>
      <c s="1269" t="s">
        <v>213</v>
      </c>
      <c s="1269" t="s">
        <v>214</v>
      </c>
      <c s="1269" t="s">
        <v>215</v>
      </c>
      <c s="2292"/>
      <c s="2292"/>
      <c s="2292"/>
      <c s="2292"/>
      <c s="2129"/>
      <c s="1269"/>
      <c s="1269"/>
      <c s="1312"/>
      <c r="P52" s="2259"/>
      <c s="1956"/>
      <c s="358"/>
      <c s="1280"/>
      <c s="289" t="s">
        <v>412</v>
      </c>
      <c s="602"/>
      <c s="602"/>
      <c s="602"/>
      <c s="602"/>
      <c s="602"/>
      <c s="602"/>
      <c s="602"/>
      <c s="602"/>
      <c s="368"/>
      <c s="602"/>
      <c s="602"/>
      <c s="602"/>
      <c s="602"/>
      <c s="602"/>
      <c s="602"/>
      <c s="602"/>
      <c s="368"/>
      <c s="602"/>
      <c s="305"/>
      <c r="AO52" s="1626"/>
      <c s="1626" t="str">
        <f>IF(T52="","",T52)</f>
        <v>Добавить группу потребителей</v>
      </c>
      <c s="1626"/>
      <c s="1626"/>
      <c s="1633">
        <v>11</v>
      </c>
    </row>
    <row r="53" spans="1:45" ht="14.7" customHeight="1">
      <c r="A53" s="1269" t="s">
        <v>212</v>
      </c>
      <c s="1269" t="s">
        <v>213</v>
      </c>
      <c s="1269" t="s">
        <v>214</v>
      </c>
      <c s="1269" t="s">
        <v>215</v>
      </c>
      <c s="2292"/>
      <c s="2292"/>
      <c s="2292"/>
      <c s="2291"/>
      <c s="1269"/>
      <c s="1269"/>
      <c s="1269"/>
      <c s="1312"/>
      <c s="1612"/>
      <c s="1612"/>
      <c s="1637"/>
      <c s="362"/>
      <c s="377"/>
      <c s="357"/>
      <c s="1280"/>
      <c s="367" t="s">
        <v>413</v>
      </c>
      <c s="602"/>
      <c s="602"/>
      <c s="602"/>
      <c s="602"/>
      <c s="602"/>
      <c s="602"/>
      <c s="602"/>
      <c s="602"/>
      <c s="368"/>
      <c s="602"/>
      <c s="602"/>
      <c s="602"/>
      <c s="602"/>
      <c s="602"/>
      <c s="602"/>
      <c s="602"/>
      <c s="368"/>
      <c s="602"/>
      <c s="305"/>
      <c r="AO53" s="1626"/>
      <c s="1626" t="str">
        <f>IF(T53="","",T53)</f>
        <v>Добавить схему подключения</v>
      </c>
      <c s="1626"/>
      <c s="1626"/>
      <c s="1633">
        <v>14</v>
      </c>
    </row>
    <row r="54" spans="1:45" s="1644" customFormat="1" ht="1.05" customHeight="1">
      <c r="A54" s="1269" t="s">
        <v>212</v>
      </c>
      <c s="1269" t="s">
        <v>213</v>
      </c>
      <c s="1269" t="s">
        <v>214</v>
      </c>
      <c s="1976"/>
      <c s="2292"/>
      <c s="2292"/>
      <c s="2291"/>
      <c s="1976"/>
      <c s="1976"/>
      <c s="1976"/>
      <c s="1976"/>
      <c s="1382"/>
      <c s="1612"/>
      <c s="1612"/>
      <c s="1637"/>
      <c s="1318"/>
      <c s="1319"/>
      <c s="1318"/>
      <c s="1324"/>
      <c s="1327" t="s">
        <v>414</v>
      </c>
      <c s="1326"/>
      <c s="1326"/>
      <c s="1326"/>
      <c s="1326"/>
      <c s="1326"/>
      <c s="1326"/>
      <c s="1326"/>
      <c s="1326"/>
      <c s="1326"/>
      <c s="1326"/>
      <c s="1326"/>
      <c s="1326"/>
      <c s="1326"/>
      <c s="1326"/>
      <c s="1326"/>
      <c s="1326"/>
      <c s="1326"/>
      <c s="1326"/>
      <c s="1326"/>
      <c r="AO54" s="1253"/>
      <c s="1253" t="str">
        <f>IF(T54="","",T54)</f>
        <v>Добавить источник для дифференциации</v>
      </c>
      <c s="1253"/>
      <c s="1253"/>
      <c s="1644">
        <v>1</v>
      </c>
    </row>
    <row r="55" spans="1:45" s="1644" customFormat="1" ht="1.05" customHeight="1">
      <c r="A55" s="1269" t="s">
        <v>212</v>
      </c>
      <c s="1269" t="s">
        <v>213</v>
      </c>
      <c s="1976"/>
      <c s="1976"/>
      <c s="2292"/>
      <c s="2291"/>
      <c s="1976"/>
      <c s="1976"/>
      <c s="1976"/>
      <c s="1976"/>
      <c s="1976"/>
      <c s="1382"/>
      <c s="1977"/>
      <c s="1977"/>
      <c s="1637"/>
      <c s="1318"/>
      <c s="1319"/>
      <c s="1318"/>
      <c s="1324"/>
      <c s="1327" t="s">
        <v>415</v>
      </c>
      <c s="1326"/>
      <c s="1326"/>
      <c s="1326"/>
      <c s="1326"/>
      <c s="1326"/>
      <c s="1326"/>
      <c s="1326"/>
      <c s="1326"/>
      <c s="1326"/>
      <c s="1326"/>
      <c s="1326"/>
      <c s="1326"/>
      <c s="1326"/>
      <c s="1326"/>
      <c s="1326"/>
      <c s="1326"/>
      <c s="1326"/>
      <c s="1326"/>
      <c s="1326"/>
      <c r="AO55" s="1253"/>
      <c s="1253" t="str">
        <f>IF(T55="","",T55)</f>
        <v>Добавить централизованную систему для дифференциации</v>
      </c>
      <c s="1253"/>
      <c s="1253"/>
      <c s="1644">
        <v>1</v>
      </c>
    </row>
    <row r="56" spans="1:45" s="1644" customFormat="1" ht="1.05" customHeight="1">
      <c r="A56" s="1269" t="s">
        <v>212</v>
      </c>
      <c s="1269"/>
      <c s="1269"/>
      <c s="1269"/>
      <c s="2291"/>
      <c s="1269"/>
      <c s="1269"/>
      <c s="1269"/>
      <c s="1269"/>
      <c s="1269"/>
      <c s="1269"/>
      <c s="1312"/>
      <c s="1977"/>
      <c s="1977"/>
      <c s="1637"/>
      <c s="382"/>
      <c s="1346"/>
      <c s="382"/>
      <c s="1324"/>
      <c s="1327" t="s">
        <v>416</v>
      </c>
      <c s="1326"/>
      <c s="1326"/>
      <c s="1326"/>
      <c s="1326"/>
      <c s="1326"/>
      <c s="1326"/>
      <c s="1326"/>
      <c s="1326"/>
      <c s="1326"/>
      <c s="1326"/>
      <c s="1326"/>
      <c s="1326"/>
      <c s="1326"/>
      <c s="1326"/>
      <c s="1326"/>
      <c s="1326"/>
      <c s="1326"/>
      <c s="1326"/>
      <c s="1326"/>
      <c r="AO56" s="1626"/>
      <c s="1626" t="str">
        <f>IF(T56="","",T56)</f>
        <v>Добавить территорию для дифференциации</v>
      </c>
      <c s="1626"/>
      <c s="1626"/>
      <c s="1638">
        <v>1</v>
      </c>
    </row>
    <row r="57" spans="1:45" s="1644" customFormat="1" ht="1.05" customHeight="1">
      <c r="A57" s="1976"/>
      <c s="1976"/>
      <c s="1976"/>
      <c s="1976"/>
      <c s="1269"/>
      <c s="1976"/>
      <c s="1976"/>
      <c s="1976"/>
      <c s="1976"/>
      <c s="1976"/>
      <c s="1976"/>
      <c s="1382"/>
      <c s="1977"/>
      <c s="1977"/>
      <c s="1637"/>
      <c s="1318"/>
      <c s="1319"/>
      <c s="1318"/>
      <c s="1324"/>
      <c s="1327" t="s">
        <v>448</v>
      </c>
      <c s="1326"/>
      <c s="1326"/>
      <c s="1326"/>
      <c s="1326"/>
      <c s="1326"/>
      <c s="1326"/>
      <c s="1326"/>
      <c s="1326"/>
      <c s="1326"/>
      <c s="1326"/>
      <c s="1326"/>
      <c s="1326"/>
      <c s="1326"/>
      <c s="1326"/>
      <c s="1326"/>
      <c s="1326"/>
      <c s="1326"/>
      <c s="1326"/>
      <c s="1326"/>
      <c r="AO57" s="1253"/>
      <c s="1253" t="str">
        <f>IF(T57="","",T57)</f>
        <v>Добавить наименование тарифа</v>
      </c>
      <c s="1253"/>
      <c s="1253"/>
      <c s="1644">
        <v>1</v>
      </c>
    </row>
    <row r="58" spans="13:45" ht="11.55" customHeight="1">
      <c r="M58" s="1633"/>
      <c s="1633"/>
      <c s="1637"/>
      <c s="1633"/>
      <c s="1633"/>
      <c s="1633"/>
      <c s="1633"/>
      <c r="AN58" s="1633"/>
      <c s="1633"/>
      <c s="1633"/>
      <c s="1633"/>
      <c s="1633"/>
      <c s="1633">
        <v>11</v>
      </c>
    </row>
    <row r="59" spans="15:45" ht="28.5" customHeight="1">
      <c r="O59" s="1637"/>
      <c r="S59" s="1255"/>
      <c s="2287"/>
      <c s="2287"/>
      <c s="2287"/>
      <c s="2287"/>
      <c s="2287"/>
      <c s="2287"/>
      <c s="2287"/>
      <c s="2287"/>
      <c s="2287"/>
      <c s="2287"/>
      <c s="2287"/>
      <c s="2287"/>
      <c s="2287"/>
      <c s="2287"/>
      <c s="2287"/>
      <c s="2287"/>
      <c s="2287"/>
      <c s="2287"/>
      <c s="2287"/>
      <c s="2287"/>
      <c r="AS59" s="1633">
        <v>27</v>
      </c>
    </row>
    <row r="60" spans="15:45" ht="65.25" customHeight="1">
      <c r="O60" s="1637"/>
      <c r="T60" s="2287"/>
      <c s="2287"/>
      <c s="2287"/>
      <c s="2287"/>
      <c s="2287"/>
      <c s="2287"/>
      <c s="2287"/>
      <c s="2287"/>
      <c s="2287"/>
      <c s="2287"/>
      <c s="2287"/>
      <c s="2287"/>
      <c s="2287"/>
      <c s="2287"/>
      <c s="2287"/>
      <c s="2287"/>
      <c s="2287"/>
      <c s="2287"/>
      <c s="2287"/>
      <c s="2287"/>
      <c r="AS60" s="1633">
        <v>62</v>
      </c>
    </row>
    <row r="61" spans="15:45" ht="14.7" customHeight="1">
      <c r="O61" s="1637"/>
      <c r="AS61" s="1633">
        <v>14</v>
      </c>
    </row>
    <row r="62" spans="15:45" ht="18.75" customHeight="1">
      <c r="O62" s="1637"/>
      <c r="S62" s="1255"/>
      <c s="2287"/>
      <c s="2287"/>
      <c s="2287"/>
      <c s="2287"/>
      <c s="2287"/>
      <c s="2287"/>
      <c s="2287"/>
      <c s="2287"/>
      <c s="2287"/>
      <c s="2287"/>
      <c s="2287"/>
      <c s="2287"/>
      <c s="2287"/>
      <c s="2287"/>
      <c s="2287"/>
      <c s="2287"/>
      <c s="2287"/>
      <c s="2287"/>
      <c s="2287"/>
      <c s="2287"/>
      <c r="AS62" s="1633">
        <v>18</v>
      </c>
    </row>
    <row r="63" spans="15:45" ht="18.75" customHeight="1">
      <c r="O63" s="1637"/>
      <c r="T63" s="2287"/>
      <c s="2287"/>
      <c s="2287"/>
      <c s="2287"/>
      <c s="2287"/>
      <c s="2287"/>
      <c s="2287"/>
      <c s="2287"/>
      <c s="2287"/>
      <c s="2287"/>
      <c s="2287"/>
      <c s="2287"/>
      <c s="2287"/>
      <c s="2287"/>
      <c s="2287"/>
      <c s="2287"/>
      <c s="2287"/>
      <c s="2287"/>
      <c s="2287"/>
      <c s="2287"/>
      <c r="AS63" s="1633">
        <v>18</v>
      </c>
    </row>
    <row r="64" spans="15:45" ht="29.25" customHeight="1">
      <c r="O64" s="1637"/>
      <c r="S64" s="1255"/>
      <c s="2287"/>
      <c s="2287"/>
      <c s="2287"/>
      <c s="2287"/>
      <c s="2287"/>
      <c s="2287"/>
      <c s="2287"/>
      <c s="2287"/>
      <c s="2287"/>
      <c s="2287"/>
      <c s="2287"/>
      <c s="2287"/>
      <c s="2287"/>
      <c s="2287"/>
      <c s="2287"/>
      <c s="2287"/>
      <c s="2287"/>
      <c s="2287"/>
      <c s="2287"/>
      <c s="2287"/>
      <c r="AS64" s="1633">
        <v>28</v>
      </c>
    </row>
    <row r="65" spans="1:45" ht="22.5" customHeight="1" hidden="1">
      <c r="A65" s="1633" t="s">
        <v>81</v>
      </c>
      <c s="1633">
        <v>0</v>
      </c>
      <c s="1633">
        <v>0</v>
      </c>
      <c s="1633">
        <v>0</v>
      </c>
      <c s="1633">
        <v>0</v>
      </c>
      <c s="1633">
        <v>0</v>
      </c>
      <c s="1633">
        <v>0</v>
      </c>
      <c s="1633">
        <v>0</v>
      </c>
      <c s="1633">
        <v>0</v>
      </c>
      <c s="1633">
        <v>0</v>
      </c>
      <c s="1633">
        <v>0</v>
      </c>
      <c s="1941">
        <v>0</v>
      </c>
      <c s="1967">
        <v>0</v>
      </c>
      <c s="1967">
        <v>0</v>
      </c>
      <c s="1967">
        <v>0</v>
      </c>
      <c s="1967">
        <v>3</v>
      </c>
      <c s="346">
        <v>3</v>
      </c>
      <c s="346">
        <v>3</v>
      </c>
      <c s="583">
        <v>12</v>
      </c>
      <c s="1633">
        <v>31</v>
      </c>
      <c s="1633">
        <v>0</v>
      </c>
      <c s="1633">
        <v>0</v>
      </c>
      <c s="1633">
        <v>0</v>
      </c>
      <c s="1633">
        <v>0</v>
      </c>
      <c s="1633">
        <v>0</v>
      </c>
      <c s="1633">
        <v>0</v>
      </c>
      <c s="1633">
        <v>0</v>
      </c>
      <c s="1633">
        <v>0</v>
      </c>
      <c s="1633">
        <v>0</v>
      </c>
      <c s="1633">
        <v>24</v>
      </c>
      <c s="1633">
        <v>0</v>
      </c>
      <c s="1633">
        <v>24</v>
      </c>
      <c s="1633">
        <v>24</v>
      </c>
      <c s="1633">
        <v>11</v>
      </c>
      <c s="1633">
        <v>3</v>
      </c>
      <c s="1633">
        <v>11</v>
      </c>
      <c s="1633">
        <v>0</v>
      </c>
      <c s="1633">
        <v>4</v>
      </c>
      <c s="1633">
        <v>115</v>
      </c>
      <c s="1638">
        <v>10</v>
      </c>
      <c s="1638">
        <v>10</v>
      </c>
      <c s="1638">
        <v>10</v>
      </c>
      <c s="1638">
        <v>10</v>
      </c>
      <c s="1638">
        <v>10</v>
      </c>
      <c s="163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23C09D2-F28C-D816-09E1-0.93813D39}"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1" style="1637" customWidth="1"/>
    <col min="21" max="21" width="0.714285714285714" style="1637" hidden="1" customWidth="1"/>
    <col min="22" max="22" width="1.71428571428571" style="1637" hidden="1" customWidth="1"/>
    <col min="23" max="23" width="24.7142857142857" style="1637" hidden="1" customWidth="1"/>
    <col min="24" max="25" width="0.142857142857143"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0.142857142857143" style="1637" customWidth="1"/>
    <col min="31" max="31" width="24" style="1637" customWidth="1"/>
    <col min="32" max="33" width="0.142857142857143"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403</v>
      </c>
      <c s="539"/>
      <c r="P6" s="2259">
        <v>1</v>
      </c>
      <c s="1333"/>
      <c s="358"/>
      <c s="1338">
        <f>$I6</f>
      </c>
      <c s="287" t="s">
        <v>404</v>
      </c>
      <c s="302"/>
      <c s="2247"/>
      <c s="2248"/>
      <c s="2248"/>
      <c s="2248"/>
      <c s="2248"/>
      <c s="2248"/>
      <c s="2248"/>
      <c s="2249"/>
      <c s="2247"/>
      <c s="2248"/>
      <c s="2248"/>
      <c s="2248"/>
      <c s="2248"/>
      <c s="2248"/>
      <c s="2248"/>
      <c s="2248"/>
      <c s="2249"/>
      <c s="1260" t="s">
        <v>405</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406</v>
      </c>
      <c s="539"/>
      <c s="1368"/>
      <c r="P7" s="2259"/>
      <c s="2259">
        <v>1</v>
      </c>
      <c s="359"/>
      <c s="1338">
        <f>$J7</f>
      </c>
      <c s="288" t="s">
        <v>407</v>
      </c>
      <c s="302"/>
      <c s="2247"/>
      <c s="2248"/>
      <c s="2248"/>
      <c s="2248"/>
      <c s="2248"/>
      <c s="2248"/>
      <c s="2248"/>
      <c s="2249"/>
      <c s="2247"/>
      <c s="2248"/>
      <c s="2248"/>
      <c s="2248"/>
      <c s="2248"/>
      <c s="2248"/>
      <c s="2248"/>
      <c s="2248"/>
      <c s="2249"/>
      <c s="1260" t="s">
        <v>408</v>
      </c>
      <c r="AO7" s="502"/>
      <c s="502" t="str">
        <f>IF(T7="","",T7)</f>
        <v>Группа потребителей</v>
      </c>
      <c s="502"/>
      <c s="502"/>
      <c s="1157">
        <v>0</v>
      </c>
    </row>
    <row r="8" spans="1:45" ht="21" customHeight="1" hidden="1">
      <c r="A8" s="1365"/>
      <c s="1365"/>
      <c s="1365"/>
      <c s="1365"/>
      <c s="2261"/>
      <c s="2261"/>
      <c s="2261"/>
      <c s="2261"/>
      <c s="2288"/>
      <c s="2288"/>
      <c s="2258">
        <f>J7&amp;".1"</f>
      </c>
      <c s="1366" t="s">
        <v>409</v>
      </c>
      <c s="539"/>
      <c s="1368"/>
      <c s="1368"/>
      <c s="2259"/>
      <c s="2259"/>
      <c s="359">
        <v>1</v>
      </c>
      <c s="1338">
        <f>$K8</f>
      </c>
      <c s="1349"/>
      <c s="302"/>
      <c s="327"/>
      <c s="753"/>
      <c s="327"/>
      <c s="386"/>
      <c s="2267"/>
      <c s="2109" t="s">
        <v>65</v>
      </c>
      <c s="2267"/>
      <c s="2109" t="s">
        <v>65</v>
      </c>
      <c s="327"/>
      <c s="753"/>
      <c s="327"/>
      <c s="386"/>
      <c s="2267"/>
      <c s="2109" t="s">
        <v>65</v>
      </c>
      <c s="2267"/>
      <c s="2109" t="s">
        <v>65</v>
      </c>
      <c s="327"/>
      <c s="2255" t="s">
        <v>410</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289"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413</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33.7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29.25"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28</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93"/>
      <c s="2293"/>
      <c s="2277"/>
      <c s="2277"/>
      <c s="2278"/>
      <c s="2279" t="s">
        <v>430</v>
      </c>
      <c s="2276" t="s">
        <v>429</v>
      </c>
      <c s="2277"/>
      <c s="2293"/>
      <c s="2293"/>
      <c s="2277"/>
      <c s="2277"/>
      <c s="2278"/>
      <c s="2279" t="s">
        <v>431</v>
      </c>
      <c s="2282" t="s">
        <v>432</v>
      </c>
      <c s="2129"/>
      <c r="AS39" s="1157">
        <v>14</v>
      </c>
    </row>
    <row r="40" spans="17:45" ht="24" customHeight="1">
      <c r="Q40" s="378"/>
      <c s="378"/>
      <c s="2275"/>
      <c s="2211"/>
      <c s="1033"/>
      <c s="2294" t="s">
        <v>433</v>
      </c>
      <c s="2296" t="s">
        <v>434</v>
      </c>
      <c s="1378" t="s">
        <v>435</v>
      </c>
      <c s="1378"/>
      <c s="2271" t="s">
        <v>436</v>
      </c>
      <c s="2271"/>
      <c s="2265"/>
      <c s="2280"/>
      <c s="2294" t="s">
        <v>433</v>
      </c>
      <c s="2296" t="s">
        <v>434</v>
      </c>
      <c s="1378" t="s">
        <v>435</v>
      </c>
      <c s="1378"/>
      <c s="2271" t="s">
        <v>436</v>
      </c>
      <c s="2271"/>
      <c s="2265"/>
      <c s="2280"/>
      <c s="2283"/>
      <c s="2129"/>
      <c r="AS40" s="1157">
        <v>23</v>
      </c>
    </row>
    <row r="41" spans="1:45" s="1268" customFormat="1" ht="24" customHeight="1">
      <c r="A41" s="1372"/>
      <c s="1372" t="s">
        <v>137</v>
      </c>
      <c s="1372" t="s">
        <v>138</v>
      </c>
      <c s="1372" t="s">
        <v>139</v>
      </c>
      <c s="1366" t="s">
        <v>437</v>
      </c>
      <c s="1366" t="s">
        <v>438</v>
      </c>
      <c s="1366" t="s">
        <v>439</v>
      </c>
      <c s="1366" t="s">
        <v>440</v>
      </c>
      <c s="1366" t="s">
        <v>441</v>
      </c>
      <c s="1366" t="s">
        <v>442</v>
      </c>
      <c s="1366" t="s">
        <v>443</v>
      </c>
      <c s="1366" t="s">
        <v>418</v>
      </c>
      <c s="1364"/>
      <c s="1364"/>
      <c s="1364"/>
      <c s="1330"/>
      <c s="378"/>
      <c s="378"/>
      <c s="2275"/>
      <c s="2211"/>
      <c s="304"/>
      <c s="2295"/>
      <c s="2297"/>
      <c s="1375" t="s">
        <v>444</v>
      </c>
      <c s="1375" t="s">
        <v>445</v>
      </c>
      <c s="1336" t="s">
        <v>446</v>
      </c>
      <c s="2272" t="s">
        <v>447</v>
      </c>
      <c s="2273"/>
      <c s="2281"/>
      <c s="2295"/>
      <c s="2297"/>
      <c s="1375" t="s">
        <v>444</v>
      </c>
      <c s="1375" t="s">
        <v>445</v>
      </c>
      <c s="1336" t="s">
        <v>446</v>
      </c>
      <c s="2272" t="s">
        <v>447</v>
      </c>
      <c s="2273"/>
      <c s="2281"/>
      <c s="2284"/>
      <c s="2129"/>
      <c s="513"/>
      <c s="502"/>
      <c s="502"/>
      <c s="502"/>
      <c s="502"/>
      <c s="584">
        <v>23</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337">
        <f ca="1">OFFSET(V42,0,-1)+1</f>
        <v>3</v>
      </c>
      <c s="1337"/>
      <c s="1343">
        <f ca="1">OFFSET(X42,0,-1)+1</f>
        <v>1</v>
      </c>
      <c s="1343">
        <f ca="1">OFFSET(Y42,0,-1)+1</f>
        <v>2</v>
      </c>
      <c s="1337">
        <f ca="1">OFFSET(Z42,0,-1)+1</f>
        <v>3</v>
      </c>
      <c s="2274">
        <f ca="1">OFFSET(AA42,0,-1)+1</f>
        <v>4</v>
      </c>
      <c s="2274"/>
      <c s="1337">
        <f ca="1">OFFSET(AC42,0,-2)+1</f>
        <v>5</v>
      </c>
      <c s="1337">
        <f ca="1">OFFSET(AD42,0,-1)+1</f>
        <v>6</v>
      </c>
      <c s="1337"/>
      <c s="1343">
        <f ca="1">OFFSET(AF42,0,-1)+1</f>
        <v>1</v>
      </c>
      <c s="1343">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194</v>
      </c>
      <c s="1365"/>
      <c s="1365"/>
      <c s="1365"/>
      <c s="2260">
        <v>1</v>
      </c>
      <c s="1365"/>
      <c s="1365"/>
      <c s="1365"/>
      <c s="1365"/>
      <c s="1365"/>
      <c s="1365"/>
      <c s="1366"/>
      <c s="1367"/>
      <c s="1367"/>
      <c s="1367"/>
      <c s="363"/>
      <c s="362"/>
      <c s="357"/>
      <c s="1338">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194</v>
      </c>
      <c s="1365" t="s">
        <v>195</v>
      </c>
      <c s="1365"/>
      <c s="1365"/>
      <c s="2261"/>
      <c s="2260">
        <v>1</v>
      </c>
      <c s="1365"/>
      <c s="1365"/>
      <c s="1365"/>
      <c s="1365"/>
      <c s="1365"/>
      <c s="1366"/>
      <c s="1367"/>
      <c s="1367"/>
      <c s="1367"/>
      <c s="1334"/>
      <c s="354"/>
      <c s="355"/>
      <c s="1338"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21</v>
      </c>
    </row>
    <row r="45" spans="1:45" ht="24" customHeight="1">
      <c r="A45" s="1365" t="s">
        <v>194</v>
      </c>
      <c s="1365" t="s">
        <v>195</v>
      </c>
      <c s="1365" t="s">
        <v>196</v>
      </c>
      <c s="1365"/>
      <c s="2261"/>
      <c s="2261"/>
      <c s="2260">
        <v>1</v>
      </c>
      <c s="1365"/>
      <c s="1365"/>
      <c s="1365"/>
      <c s="1365"/>
      <c s="1366"/>
      <c s="1367"/>
      <c s="1367"/>
      <c s="1367"/>
      <c s="356"/>
      <c s="354"/>
      <c s="355"/>
      <c s="1338"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2.05" customHeight="1">
      <c r="A46" s="1365" t="s">
        <v>194</v>
      </c>
      <c s="1365" t="s">
        <v>195</v>
      </c>
      <c s="1365" t="s">
        <v>196</v>
      </c>
      <c s="1365" t="s">
        <v>197</v>
      </c>
      <c s="2261"/>
      <c s="2261"/>
      <c s="2261"/>
      <c s="2260">
        <v>1</v>
      </c>
      <c s="1365"/>
      <c s="1365"/>
      <c s="1365"/>
      <c s="1366"/>
      <c s="1367"/>
      <c s="1367"/>
      <c s="1367"/>
      <c s="356"/>
      <c s="354"/>
      <c s="355"/>
      <c s="1338"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21</v>
      </c>
    </row>
    <row r="47" spans="1:45" ht="49.5" customHeight="1">
      <c r="A47" s="1365" t="s">
        <v>194</v>
      </c>
      <c s="1365" t="s">
        <v>195</v>
      </c>
      <c s="1365" t="s">
        <v>196</v>
      </c>
      <c s="1365" t="s">
        <v>197</v>
      </c>
      <c s="2261"/>
      <c s="2261"/>
      <c s="2261"/>
      <c s="2261"/>
      <c s="2258" t="str">
        <f>S46&amp;".1"</f>
        <v>....1</v>
      </c>
      <c s="1365"/>
      <c s="1365"/>
      <c s="1366" t="s">
        <v>403</v>
      </c>
      <c r="P47" s="2259">
        <v>1</v>
      </c>
      <c s="1333"/>
      <c s="358"/>
      <c s="1338" t="str">
        <f>$I47</f>
        <v>....1</v>
      </c>
      <c s="287" t="s">
        <v>404</v>
      </c>
      <c s="302"/>
      <c s="2247"/>
      <c s="2248"/>
      <c s="2248"/>
      <c s="2248"/>
      <c s="2248"/>
      <c s="2248"/>
      <c s="2248"/>
      <c s="2249"/>
      <c s="2247"/>
      <c s="2248"/>
      <c s="2248"/>
      <c s="2248"/>
      <c s="2248"/>
      <c s="2248"/>
      <c s="2248"/>
      <c s="2248"/>
      <c s="2249"/>
      <c s="1260" t="s">
        <v>405</v>
      </c>
      <c r="AO47" s="502"/>
      <c s="502" t="str">
        <f>IF(T47="","",T47)</f>
        <v>Схема подключения теплопотребляющей установки к коллектору источника тепловой энергии</v>
      </c>
      <c s="502"/>
      <c s="502"/>
      <c s="1157">
        <v>47</v>
      </c>
    </row>
    <row r="48" spans="1:45" ht="22.05" customHeight="1">
      <c r="A48" s="1365" t="s">
        <v>194</v>
      </c>
      <c s="1365" t="s">
        <v>195</v>
      </c>
      <c s="1365" t="s">
        <v>196</v>
      </c>
      <c s="1365" t="s">
        <v>197</v>
      </c>
      <c s="2261"/>
      <c s="2261"/>
      <c s="2261"/>
      <c s="2261"/>
      <c s="2288"/>
      <c s="2258" t="str">
        <f>I47&amp;".1"</f>
        <v>....1.1</v>
      </c>
      <c s="1365"/>
      <c s="1366" t="s">
        <v>406</v>
      </c>
      <c r="P48" s="2259"/>
      <c s="2259">
        <v>1</v>
      </c>
      <c s="359"/>
      <c s="1338" t="str">
        <f>$J48</f>
        <v>....1.1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21</v>
      </c>
    </row>
    <row r="49" spans="1:45" ht="22.05" customHeight="1">
      <c r="A49" s="1365" t="s">
        <v>194</v>
      </c>
      <c s="1365" t="s">
        <v>195</v>
      </c>
      <c s="1365" t="s">
        <v>196</v>
      </c>
      <c s="1365" t="s">
        <v>197</v>
      </c>
      <c s="2261"/>
      <c s="2261"/>
      <c s="2261"/>
      <c s="2261"/>
      <c s="2288"/>
      <c s="2288"/>
      <c s="2258" t="str">
        <f>J48&amp;".1"</f>
        <v>....1.1.1</v>
      </c>
      <c s="1366" t="s">
        <v>409</v>
      </c>
      <c r="P49" s="2259"/>
      <c s="2259"/>
      <c s="359">
        <v>1</v>
      </c>
      <c s="1338" t="str">
        <f>$K49</f>
        <v>....1.1.1</v>
      </c>
      <c s="1349"/>
      <c s="302"/>
      <c s="327"/>
      <c s="753"/>
      <c s="327"/>
      <c s="386"/>
      <c s="2267"/>
      <c s="2109" t="s">
        <v>65</v>
      </c>
      <c s="2267"/>
      <c s="2109" t="s">
        <v>65</v>
      </c>
      <c s="327"/>
      <c s="753"/>
      <c s="327"/>
      <c s="386"/>
      <c s="2267"/>
      <c s="2109" t="s">
        <v>65</v>
      </c>
      <c s="2289"/>
      <c s="2109" t="s">
        <v>65</v>
      </c>
      <c s="1350"/>
      <c s="2255" t="s">
        <v>410</v>
      </c>
      <c s="513">
        <f>STRCHECKDATE(V50:AL50)</f>
      </c>
      <c s="502"/>
      <c s="502" t="str">
        <f>IF(T49="","",T49)</f>
        <v/>
      </c>
      <c s="502"/>
      <c s="502"/>
      <c s="1157">
        <v>21</v>
      </c>
    </row>
    <row r="50" spans="1:45" ht="1.05" customHeight="1">
      <c r="A50" s="1365" t="s">
        <v>194</v>
      </c>
      <c s="1365" t="s">
        <v>195</v>
      </c>
      <c s="1365" t="s">
        <v>196</v>
      </c>
      <c s="1365" t="s">
        <v>197</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194</v>
      </c>
      <c s="1365" t="s">
        <v>195</v>
      </c>
      <c s="1365" t="s">
        <v>196</v>
      </c>
      <c s="1365" t="s">
        <v>197</v>
      </c>
      <c s="2261"/>
      <c s="2261"/>
      <c s="2261"/>
      <c s="2261"/>
      <c s="2288"/>
      <c s="2258"/>
      <c s="1365"/>
      <c s="1366"/>
      <c r="P51" s="2259"/>
      <c s="2259"/>
      <c s="358"/>
      <c s="1280"/>
      <c s="290"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194</v>
      </c>
      <c s="1365" t="s">
        <v>195</v>
      </c>
      <c s="1365" t="s">
        <v>196</v>
      </c>
      <c s="1365" t="s">
        <v>197</v>
      </c>
      <c s="2261"/>
      <c s="2261"/>
      <c s="2261"/>
      <c s="2261"/>
      <c s="2258"/>
      <c s="1365"/>
      <c s="1365"/>
      <c s="1366"/>
      <c r="P52" s="2259"/>
      <c s="1333"/>
      <c s="358"/>
      <c s="1280"/>
      <c s="289"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194</v>
      </c>
      <c s="1365" t="s">
        <v>195</v>
      </c>
      <c s="1365" t="s">
        <v>196</v>
      </c>
      <c s="1365" t="s">
        <v>197</v>
      </c>
      <c s="2261"/>
      <c s="2261"/>
      <c s="2261"/>
      <c s="2260"/>
      <c s="1365"/>
      <c s="1365"/>
      <c s="1365"/>
      <c s="1366"/>
      <c s="1367"/>
      <c s="1367"/>
      <c s="539"/>
      <c s="362"/>
      <c s="377"/>
      <c s="357"/>
      <c s="1280"/>
      <c s="367" t="s">
        <v>413</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194</v>
      </c>
      <c s="1345" t="s">
        <v>195</v>
      </c>
      <c s="1345" t="s">
        <v>196</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194</v>
      </c>
      <c s="1345" t="s">
        <v>195</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194</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78.75" customHeight="1">
      <c r="O60" s="539"/>
      <c r="T60" s="2287"/>
      <c s="2287"/>
      <c s="2287"/>
      <c s="2287"/>
      <c s="2287"/>
      <c s="2287"/>
      <c s="2287"/>
      <c s="2287"/>
      <c s="2287"/>
      <c s="2287"/>
      <c s="2287"/>
      <c s="2287"/>
      <c s="2287"/>
      <c s="2287"/>
      <c s="2287"/>
      <c s="2287"/>
      <c s="2287"/>
      <c s="2287"/>
      <c s="2287"/>
      <c s="2287"/>
      <c r="AS60" s="1157">
        <v>75</v>
      </c>
    </row>
    <row r="61" spans="15:45" ht="14.7" customHeight="1">
      <c r="O61" s="539"/>
      <c r="AS61" s="1157">
        <v>14</v>
      </c>
    </row>
    <row r="62" spans="15:45" ht="18.75" customHeight="1">
      <c r="O62" s="539"/>
      <c r="S62" s="1255"/>
      <c s="2287"/>
      <c s="2287"/>
      <c s="2287"/>
      <c s="2287"/>
      <c s="2287"/>
      <c s="2287"/>
      <c s="2287"/>
      <c s="2287"/>
      <c s="2287"/>
      <c s="2287"/>
      <c s="2287"/>
      <c s="2287"/>
      <c s="2287"/>
      <c s="2287"/>
      <c s="2287"/>
      <c s="2287"/>
      <c s="2287"/>
      <c s="2287"/>
      <c s="2287"/>
      <c s="2287"/>
      <c r="AS62" s="1157">
        <v>18</v>
      </c>
    </row>
    <row r="63" spans="15:45" ht="18.75" customHeight="1">
      <c r="O63" s="539"/>
      <c r="T63" s="2287"/>
      <c s="2287"/>
      <c s="2287"/>
      <c s="2287"/>
      <c s="2287"/>
      <c s="2287"/>
      <c s="2287"/>
      <c s="2287"/>
      <c s="2287"/>
      <c s="2287"/>
      <c s="2287"/>
      <c s="2287"/>
      <c s="2287"/>
      <c s="2287"/>
      <c s="2287"/>
      <c s="2287"/>
      <c s="2287"/>
      <c s="2287"/>
      <c s="2287"/>
      <c s="2287"/>
      <c r="AS63" s="1157">
        <v>18</v>
      </c>
    </row>
    <row r="64" spans="15:45" ht="39.75" customHeight="1">
      <c r="O64" s="539"/>
      <c r="S64" s="1255"/>
      <c s="2287"/>
      <c s="2287"/>
      <c s="2287"/>
      <c s="2287"/>
      <c s="2287"/>
      <c s="2287"/>
      <c s="2287"/>
      <c s="2287"/>
      <c s="2287"/>
      <c s="2287"/>
      <c s="2287"/>
      <c s="2287"/>
      <c s="2287"/>
      <c s="2287"/>
      <c s="2287"/>
      <c s="2287"/>
      <c s="2287"/>
      <c s="2287"/>
      <c s="2287"/>
      <c s="2287"/>
      <c r="AS64" s="1157">
        <v>38</v>
      </c>
    </row>
    <row r="65" spans="1:45" ht="22.5" customHeight="1" hidden="1">
      <c r="A65" s="1162" t="s">
        <v>81</v>
      </c>
      <c s="1162">
        <v>0</v>
      </c>
      <c s="1162">
        <v>0</v>
      </c>
      <c s="1162">
        <v>0</v>
      </c>
      <c s="1162">
        <v>0</v>
      </c>
      <c s="1162">
        <v>0</v>
      </c>
      <c s="1162">
        <v>0</v>
      </c>
      <c s="1162">
        <v>0</v>
      </c>
      <c s="1162">
        <v>0</v>
      </c>
      <c s="1162">
        <v>0</v>
      </c>
      <c s="1162">
        <v>0</v>
      </c>
      <c s="1331">
        <v>0</v>
      </c>
      <c s="1364">
        <v>0</v>
      </c>
      <c s="1364">
        <v>0</v>
      </c>
      <c s="1364">
        <v>0</v>
      </c>
      <c s="1330">
        <v>3</v>
      </c>
      <c s="346">
        <v>3</v>
      </c>
      <c s="346">
        <v>3</v>
      </c>
      <c s="583">
        <v>12</v>
      </c>
      <c s="1157">
        <v>31</v>
      </c>
      <c s="1157">
        <v>0</v>
      </c>
      <c s="1157">
        <v>0</v>
      </c>
      <c s="1157">
        <v>0</v>
      </c>
      <c s="1157">
        <v>0</v>
      </c>
      <c s="1157">
        <v>0</v>
      </c>
      <c s="1157">
        <v>0</v>
      </c>
      <c s="1157">
        <v>0</v>
      </c>
      <c s="1157">
        <v>0</v>
      </c>
      <c s="1157">
        <v>0</v>
      </c>
      <c s="1157">
        <v>0</v>
      </c>
      <c s="1157">
        <v>24</v>
      </c>
      <c s="1157">
        <v>0</v>
      </c>
      <c s="1157">
        <v>0</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4659E6F-E18A-42FB-9479-0.BE81FC2A}"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8.42857142857143" style="1637" hidden="1" customWidth="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502"/>
      <c s="502" t="str">
        <f>IF(T5="","",T5)</f>
        <v>Источник тепловой энергии</v>
      </c>
      <c s="502"/>
      <c s="502"/>
      <c s="1157">
        <v>0</v>
      </c>
    </row>
    <row r="6" spans="1:45" ht="14.25" customHeight="1" hidden="1">
      <c r="A6" s="1365"/>
      <c s="1365"/>
      <c s="1365"/>
      <c s="1365"/>
      <c s="2261"/>
      <c s="2261"/>
      <c s="2261"/>
      <c s="2261"/>
      <c s="2258">
        <f>S5&amp;".1"</f>
      </c>
      <c s="1365"/>
      <c s="1365"/>
      <c s="1366" t="s">
        <v>403</v>
      </c>
      <c s="539"/>
      <c r="P6" s="2259">
        <v>1</v>
      </c>
      <c s="1333"/>
      <c s="358"/>
      <c s="1044"/>
      <c s="1385"/>
      <c s="1386"/>
      <c s="2298"/>
      <c s="2299"/>
      <c s="2299"/>
      <c s="2299"/>
      <c s="2299"/>
      <c s="2299"/>
      <c s="2299"/>
      <c s="2300"/>
      <c s="2298"/>
      <c s="2299"/>
      <c s="2299"/>
      <c s="2299"/>
      <c s="2299"/>
      <c s="2299"/>
      <c s="2299"/>
      <c s="2299"/>
      <c s="2300"/>
      <c s="1387"/>
      <c r="AO6" s="502"/>
      <c s="502" t="str">
        <f>IF(T6="","",T6)</f>
        <v/>
      </c>
      <c s="502"/>
      <c s="502"/>
      <c s="1157">
        <v>0</v>
      </c>
    </row>
    <row r="7" spans="1:45" ht="21" customHeight="1" hidden="1">
      <c r="A7" s="1365"/>
      <c s="1365"/>
      <c s="1365"/>
      <c s="1365"/>
      <c s="2261"/>
      <c s="2261"/>
      <c s="2261"/>
      <c s="2261"/>
      <c s="2288"/>
      <c s="2258">
        <f>I6&amp;".1"</f>
      </c>
      <c s="1365"/>
      <c s="1366" t="s">
        <v>406</v>
      </c>
      <c s="539"/>
      <c s="1368"/>
      <c r="P7" s="2259"/>
      <c s="2259">
        <v>1</v>
      </c>
      <c s="359"/>
      <c s="1338">
        <f>$J7</f>
      </c>
      <c s="288" t="s">
        <v>407</v>
      </c>
      <c s="302"/>
      <c s="2247"/>
      <c s="2248"/>
      <c s="2248"/>
      <c s="2248"/>
      <c s="2248"/>
      <c s="2248"/>
      <c s="2248"/>
      <c s="2249"/>
      <c s="2247"/>
      <c s="2248"/>
      <c s="2248"/>
      <c s="2248"/>
      <c s="2248"/>
      <c s="2248"/>
      <c s="2248"/>
      <c s="2248"/>
      <c s="2249"/>
      <c s="1260" t="s">
        <v>408</v>
      </c>
      <c r="AO7" s="502"/>
      <c s="502" t="str">
        <f>IF(T7="","",T7)</f>
        <v>Группа потребителей</v>
      </c>
      <c s="502"/>
      <c s="502"/>
      <c s="1157">
        <v>0</v>
      </c>
    </row>
    <row r="8" spans="1:45" ht="21" customHeight="1" hidden="1">
      <c r="A8" s="1365"/>
      <c s="1365"/>
      <c s="1365"/>
      <c s="1365"/>
      <c s="2261"/>
      <c s="2261"/>
      <c s="2261"/>
      <c s="2261"/>
      <c s="2288"/>
      <c s="2288"/>
      <c s="2258">
        <f>J7&amp;".1"</f>
      </c>
      <c s="1366" t="s">
        <v>409</v>
      </c>
      <c s="539"/>
      <c s="1368"/>
      <c s="1368"/>
      <c s="2259"/>
      <c s="2259"/>
      <c s="359">
        <v>1</v>
      </c>
      <c s="1338">
        <f>$K8</f>
      </c>
      <c s="1349"/>
      <c s="302"/>
      <c s="753"/>
      <c s="327"/>
      <c s="753"/>
      <c s="1259"/>
      <c s="2267"/>
      <c s="2109" t="s">
        <v>65</v>
      </c>
      <c s="2267"/>
      <c s="2109" t="s">
        <v>65</v>
      </c>
      <c s="753"/>
      <c s="327"/>
      <c s="753"/>
      <c s="1259"/>
      <c s="2267"/>
      <c s="2109" t="s">
        <v>65</v>
      </c>
      <c s="2267"/>
      <c s="2109" t="s">
        <v>65</v>
      </c>
      <c s="327"/>
      <c s="2255" t="s">
        <v>410</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89"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367"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0.7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63" customHeight="1">
      <c r="Q26" s="378"/>
      <c s="378"/>
      <c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0"/>
      <c s="2250"/>
      <c s="2250"/>
      <c s="2250"/>
      <c s="2250"/>
      <c s="2250"/>
      <c s="2250"/>
      <c s="2250"/>
      <c s="2250"/>
      <c s="2250"/>
      <c s="2250"/>
      <c s="2250"/>
      <c s="2250"/>
      <c s="2250"/>
      <c s="2250"/>
      <c s="2250"/>
      <c s="2250"/>
      <c s="1245"/>
      <c r="AS26" s="1157">
        <v>60</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77"/>
      <c s="2277"/>
      <c s="2277"/>
      <c s="2277"/>
      <c s="2278"/>
      <c s="2279" t="s">
        <v>430</v>
      </c>
      <c s="2276" t="s">
        <v>429</v>
      </c>
      <c s="2277"/>
      <c s="2277"/>
      <c s="2277"/>
      <c s="2277"/>
      <c s="2277"/>
      <c s="2278"/>
      <c s="2279" t="s">
        <v>431</v>
      </c>
      <c s="2282" t="s">
        <v>432</v>
      </c>
      <c s="2129"/>
      <c r="AS39" s="1157">
        <v>14</v>
      </c>
    </row>
    <row r="40" spans="17:45" ht="35.7" customHeight="1">
      <c r="Q40" s="378"/>
      <c s="378"/>
      <c s="2275"/>
      <c s="2211"/>
      <c s="1033"/>
      <c s="2262" t="s">
        <v>433</v>
      </c>
      <c s="2285"/>
      <c s="2264" t="s">
        <v>435</v>
      </c>
      <c s="2265"/>
      <c s="2264" t="s">
        <v>436</v>
      </c>
      <c s="2271"/>
      <c s="2265"/>
      <c s="2280"/>
      <c s="2262" t="s">
        <v>450</v>
      </c>
      <c s="2285"/>
      <c s="2264" t="s">
        <v>435</v>
      </c>
      <c s="2265"/>
      <c s="2264" t="s">
        <v>436</v>
      </c>
      <c s="2271"/>
      <c s="2265"/>
      <c s="2280"/>
      <c s="2283"/>
      <c s="2129"/>
      <c r="AS40" s="1157">
        <v>34</v>
      </c>
    </row>
    <row r="41" spans="1:45" ht="35.7" customHeight="1">
      <c r="A41" s="1372"/>
      <c s="1372" t="s">
        <v>137</v>
      </c>
      <c s="1372" t="s">
        <v>138</v>
      </c>
      <c s="1372" t="s">
        <v>139</v>
      </c>
      <c s="1366" t="s">
        <v>437</v>
      </c>
      <c s="1366" t="s">
        <v>438</v>
      </c>
      <c s="1366" t="s">
        <v>439</v>
      </c>
      <c s="1366" t="s">
        <v>440</v>
      </c>
      <c s="1366" t="s">
        <v>441</v>
      </c>
      <c s="1366" t="s">
        <v>442</v>
      </c>
      <c s="1366" t="s">
        <v>443</v>
      </c>
      <c s="1366" t="s">
        <v>418</v>
      </c>
      <c r="Q41" s="378"/>
      <c s="378"/>
      <c s="2275"/>
      <c s="2211"/>
      <c s="304"/>
      <c s="2263"/>
      <c s="2286"/>
      <c s="1224" t="s">
        <v>444</v>
      </c>
      <c s="1224" t="s">
        <v>445</v>
      </c>
      <c s="1340" t="s">
        <v>446</v>
      </c>
      <c s="2272" t="s">
        <v>447</v>
      </c>
      <c s="2273"/>
      <c s="2281"/>
      <c s="2263"/>
      <c s="2286"/>
      <c s="1224" t="s">
        <v>444</v>
      </c>
      <c s="1224" t="s">
        <v>445</v>
      </c>
      <c s="1340" t="s">
        <v>446</v>
      </c>
      <c s="2272" t="s">
        <v>447</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170</v>
      </c>
      <c s="1365"/>
      <c s="1365"/>
      <c s="1365"/>
      <c s="2260">
        <v>1</v>
      </c>
      <c s="1365"/>
      <c s="1365"/>
      <c s="1365"/>
      <c s="1365"/>
      <c s="1365"/>
      <c s="1365"/>
      <c s="1366"/>
      <c s="1367"/>
      <c s="1367"/>
      <c s="1367"/>
      <c s="363"/>
      <c s="362"/>
      <c s="357"/>
      <c s="1338">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170</v>
      </c>
      <c s="1365" t="s">
        <v>171</v>
      </c>
      <c s="1365"/>
      <c s="1365"/>
      <c s="2261"/>
      <c s="2260">
        <v>1</v>
      </c>
      <c s="1365"/>
      <c s="1365"/>
      <c s="1365"/>
      <c s="1365"/>
      <c s="1365"/>
      <c s="1366"/>
      <c s="1367"/>
      <c s="1367"/>
      <c s="1367"/>
      <c s="1334"/>
      <c s="354"/>
      <c s="355"/>
      <c s="1338"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21</v>
      </c>
    </row>
    <row r="45" spans="1:45" ht="24" customHeight="1">
      <c r="A45" s="1365" t="s">
        <v>170</v>
      </c>
      <c s="1365" t="s">
        <v>171</v>
      </c>
      <c s="1365" t="s">
        <v>172</v>
      </c>
      <c s="1365"/>
      <c s="2261"/>
      <c s="2261"/>
      <c s="2260">
        <v>1</v>
      </c>
      <c s="1365"/>
      <c s="1365"/>
      <c s="1365"/>
      <c s="1365"/>
      <c s="1366"/>
      <c s="1367"/>
      <c s="1367"/>
      <c s="1367"/>
      <c s="356"/>
      <c s="354"/>
      <c s="355"/>
      <c s="1338"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2.05" customHeight="1">
      <c r="A46" s="1365" t="s">
        <v>170</v>
      </c>
      <c s="1365" t="s">
        <v>171</v>
      </c>
      <c s="1365" t="s">
        <v>172</v>
      </c>
      <c s="1365" t="s">
        <v>173</v>
      </c>
      <c s="2261"/>
      <c s="2261"/>
      <c s="2261"/>
      <c s="2260">
        <v>1</v>
      </c>
      <c s="1365"/>
      <c s="1365"/>
      <c s="1365"/>
      <c s="1366"/>
      <c s="1367"/>
      <c s="1367"/>
      <c s="1367"/>
      <c s="356"/>
      <c s="354"/>
      <c s="355"/>
      <c s="1338"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21</v>
      </c>
    </row>
    <row r="47" spans="1:45" s="1644" customFormat="1" ht="0" customHeight="1">
      <c r="A47" s="1345" t="s">
        <v>170</v>
      </c>
      <c s="1345" t="s">
        <v>171</v>
      </c>
      <c s="1345" t="s">
        <v>172</v>
      </c>
      <c s="1345" t="s">
        <v>173</v>
      </c>
      <c s="2261"/>
      <c s="2261"/>
      <c s="2261"/>
      <c s="2261"/>
      <c s="2258" t="str">
        <f>S46&amp;".1"</f>
        <v>....1</v>
      </c>
      <c s="1345"/>
      <c s="1345"/>
      <c s="1348" t="s">
        <v>403</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170</v>
      </c>
      <c s="1365" t="s">
        <v>171</v>
      </c>
      <c s="1365" t="s">
        <v>172</v>
      </c>
      <c s="1365" t="s">
        <v>173</v>
      </c>
      <c s="2261"/>
      <c s="2261"/>
      <c s="2261"/>
      <c s="2261"/>
      <c s="2288"/>
      <c s="2258" t="str">
        <f>S46&amp;".1"</f>
        <v>....1</v>
      </c>
      <c s="1365"/>
      <c s="1366" t="s">
        <v>406</v>
      </c>
      <c r="P48" s="2259"/>
      <c s="2259">
        <v>1</v>
      </c>
      <c s="359"/>
      <c s="1338" t="str">
        <f>$J48</f>
        <v>....1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21</v>
      </c>
    </row>
    <row r="49" spans="1:45" ht="22.05" customHeight="1">
      <c r="A49" s="1365" t="s">
        <v>170</v>
      </c>
      <c s="1365" t="s">
        <v>171</v>
      </c>
      <c s="1365" t="s">
        <v>172</v>
      </c>
      <c s="1365" t="s">
        <v>173</v>
      </c>
      <c s="2261"/>
      <c s="2261"/>
      <c s="2261"/>
      <c s="2261"/>
      <c s="2288"/>
      <c s="2288"/>
      <c s="2258" t="str">
        <f>J48&amp;".1"</f>
        <v>....1.1</v>
      </c>
      <c s="1366" t="s">
        <v>409</v>
      </c>
      <c r="P49" s="2259"/>
      <c s="2259"/>
      <c s="359">
        <v>1</v>
      </c>
      <c s="1338" t="str">
        <f>$K49</f>
        <v>....1.1</v>
      </c>
      <c s="1349"/>
      <c s="302"/>
      <c s="753"/>
      <c s="327"/>
      <c s="753"/>
      <c s="1259"/>
      <c s="2267"/>
      <c s="2109" t="s">
        <v>65</v>
      </c>
      <c s="2267"/>
      <c s="2109" t="s">
        <v>65</v>
      </c>
      <c s="753"/>
      <c s="327"/>
      <c s="753"/>
      <c s="1259"/>
      <c s="2267"/>
      <c s="2109" t="s">
        <v>65</v>
      </c>
      <c s="2289"/>
      <c s="2109" t="s">
        <v>65</v>
      </c>
      <c s="1350"/>
      <c s="2255" t="s">
        <v>451</v>
      </c>
      <c s="513">
        <f>STRCHECKDATE(V50:AL50)</f>
      </c>
      <c s="502"/>
      <c s="502" t="str">
        <f>IF(T49="","",T49)</f>
        <v/>
      </c>
      <c s="502"/>
      <c s="502"/>
      <c s="1157">
        <v>21</v>
      </c>
    </row>
    <row r="50" spans="1:45" ht="1.05" customHeight="1">
      <c r="A50" s="1365" t="s">
        <v>170</v>
      </c>
      <c s="1365" t="s">
        <v>171</v>
      </c>
      <c s="1365" t="s">
        <v>172</v>
      </c>
      <c s="1365" t="s">
        <v>173</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170</v>
      </c>
      <c s="1365" t="s">
        <v>171</v>
      </c>
      <c s="1365" t="s">
        <v>172</v>
      </c>
      <c s="1365" t="s">
        <v>173</v>
      </c>
      <c s="2261"/>
      <c s="2261"/>
      <c s="2261"/>
      <c s="2261"/>
      <c s="2288"/>
      <c s="2258"/>
      <c s="1365"/>
      <c s="1366"/>
      <c r="P51" s="2259"/>
      <c s="2259"/>
      <c s="358"/>
      <c s="1280"/>
      <c s="289"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170</v>
      </c>
      <c s="1365" t="s">
        <v>171</v>
      </c>
      <c s="1365" t="s">
        <v>172</v>
      </c>
      <c s="1365" t="s">
        <v>173</v>
      </c>
      <c s="2261"/>
      <c s="2261"/>
      <c s="2261"/>
      <c s="2261"/>
      <c s="2258"/>
      <c s="1365"/>
      <c s="1365"/>
      <c s="1366"/>
      <c r="P52" s="2259"/>
      <c s="1333"/>
      <c s="358"/>
      <c s="1280"/>
      <c s="367"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170</v>
      </c>
      <c s="1365" t="s">
        <v>171</v>
      </c>
      <c s="1365" t="s">
        <v>172</v>
      </c>
      <c s="1365" t="s">
        <v>173</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1.05" customHeight="1">
      <c r="A54" s="1345" t="s">
        <v>170</v>
      </c>
      <c s="1345" t="s">
        <v>171</v>
      </c>
      <c s="1345" t="s">
        <v>172</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170</v>
      </c>
      <c s="1345" t="s">
        <v>171</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170</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19.95" customHeight="1">
      <c r="O59" s="539"/>
      <c r="S59" s="1255"/>
      <c s="2287"/>
      <c s="2287"/>
      <c s="2287"/>
      <c s="2287"/>
      <c s="2287"/>
      <c s="2287"/>
      <c s="2287"/>
      <c s="2287"/>
      <c s="2287"/>
      <c s="2287"/>
      <c s="2287"/>
      <c s="2287"/>
      <c s="2287"/>
      <c s="2287"/>
      <c s="2287"/>
      <c s="2287"/>
      <c s="2287"/>
      <c s="2287"/>
      <c s="2287"/>
      <c s="2287"/>
      <c r="AS59" s="1157">
        <v>19</v>
      </c>
    </row>
    <row r="60" spans="15:45" ht="29.25" customHeight="1">
      <c r="O60" s="539"/>
      <c r="T60" s="2287"/>
      <c s="2287"/>
      <c s="2287"/>
      <c s="2287"/>
      <c s="2287"/>
      <c s="2287"/>
      <c s="2287"/>
      <c s="2287"/>
      <c s="2287"/>
      <c s="2287"/>
      <c s="2287"/>
      <c s="2287"/>
      <c s="2287"/>
      <c s="2287"/>
      <c s="2287"/>
      <c s="2287"/>
      <c s="2287"/>
      <c s="2287"/>
      <c s="2287"/>
      <c s="2287"/>
      <c r="AS60" s="1157">
        <v>28</v>
      </c>
    </row>
    <row r="61" spans="15:45" ht="42" customHeight="1">
      <c r="O61" s="539"/>
      <c r="T61" s="2287"/>
      <c s="2287"/>
      <c s="2287"/>
      <c s="2287"/>
      <c s="2287"/>
      <c s="2287"/>
      <c s="2287"/>
      <c s="2287"/>
      <c s="2287"/>
      <c s="2287"/>
      <c s="2287"/>
      <c s="2287"/>
      <c s="2287"/>
      <c s="2287"/>
      <c s="2287"/>
      <c s="2287"/>
      <c s="2287"/>
      <c s="2287"/>
      <c s="2287"/>
      <c s="2287"/>
      <c r="AS61" s="1157">
        <v>40</v>
      </c>
    </row>
    <row r="62" spans="15:45" ht="14.7" customHeight="1">
      <c r="O62" s="539"/>
      <c r="AS62" s="1157">
        <v>14</v>
      </c>
    </row>
    <row r="63" spans="15:45" ht="21" customHeight="1">
      <c r="O63" s="539"/>
      <c r="S63" s="1255"/>
      <c s="2301"/>
      <c s="2287"/>
      <c s="2287"/>
      <c s="2287"/>
      <c s="2287"/>
      <c s="2287"/>
      <c s="2287"/>
      <c s="2287"/>
      <c s="2287"/>
      <c s="2287"/>
      <c s="2287"/>
      <c s="2287"/>
      <c s="2287"/>
      <c s="2287"/>
      <c s="2287"/>
      <c s="2287"/>
      <c s="2287"/>
      <c s="2287"/>
      <c s="2287"/>
      <c s="2287"/>
      <c r="AS63" s="1157">
        <v>20</v>
      </c>
    </row>
    <row r="64" spans="15:45" ht="29.25" customHeight="1">
      <c r="O64" s="539"/>
      <c r="T64" s="2287"/>
      <c s="2287"/>
      <c s="2287"/>
      <c s="2287"/>
      <c s="2287"/>
      <c s="2287"/>
      <c s="2287"/>
      <c s="2287"/>
      <c s="2287"/>
      <c s="2287"/>
      <c s="2287"/>
      <c s="2287"/>
      <c s="2287"/>
      <c s="2287"/>
      <c s="2287"/>
      <c s="2287"/>
      <c s="2287"/>
      <c s="2287"/>
      <c s="2287"/>
      <c s="2287"/>
      <c r="AS64" s="1157">
        <v>28</v>
      </c>
    </row>
    <row r="65" spans="20:45" ht="35.7" customHeight="1">
      <c r="T65" s="2287"/>
      <c s="2287"/>
      <c s="2287"/>
      <c s="2287"/>
      <c s="2287"/>
      <c s="2287"/>
      <c s="2287"/>
      <c s="2287"/>
      <c s="2287"/>
      <c s="2287"/>
      <c s="2287"/>
      <c s="2287"/>
      <c s="2287"/>
      <c s="2287"/>
      <c s="2287"/>
      <c s="2287"/>
      <c s="2287"/>
      <c s="2287"/>
      <c s="2287"/>
      <c s="2287"/>
      <c r="AS65" s="1157">
        <v>34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4C418E8-F4A4-AF16-C5FD-0.0AC27CCE}"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1:1 25:45" ht="22.5" customHeight="1" hidden="1">
      <c r="A1" s="1873"/>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2010">
        <f>INDEX(PT_DIFFERENTIATION_NUM_CS,MATCH(C4,PT_DIFFERENTIATION_CS_ID,0))</f>
      </c>
      <c s="2014" t="s">
        <v>399</v>
      </c>
      <c s="2015"/>
      <c s="2302"/>
      <c s="2303"/>
      <c s="2303"/>
      <c s="2303"/>
      <c s="2303"/>
      <c s="2303"/>
      <c s="2303"/>
      <c s="2304"/>
      <c s="2302">
        <f>INDEX(PT_DIFFERENTIATION_CS,MATCH(C4,PT_DIFFERENTIATION_CS_ID,0))</f>
      </c>
      <c s="2303"/>
      <c s="2303"/>
      <c s="2303"/>
      <c s="2303"/>
      <c s="2303"/>
      <c s="2303"/>
      <c s="2303"/>
      <c s="2304"/>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1637"/>
      <c s="2009">
        <f>INDEX(PT_DIFFERENTIATION_NUM_IST_TE,MATCH(D5,PT_DIFFERENTIATION_IST_TE_ID,0))</f>
      </c>
      <c s="312" t="s">
        <v>401</v>
      </c>
      <c s="302"/>
      <c s="2305"/>
      <c s="2305"/>
      <c s="2305"/>
      <c s="2305"/>
      <c s="2305"/>
      <c s="2305"/>
      <c s="2305"/>
      <c s="2305"/>
      <c s="2305">
        <f>INDEX(PT_DIFFERENTIATION_IST_TE,MATCH(D5,PT_DIFFERENTIATION_IST_TE_ID,0))</f>
      </c>
      <c s="2305"/>
      <c s="2305"/>
      <c s="2305"/>
      <c s="2305"/>
      <c s="2305"/>
      <c s="2305"/>
      <c s="2305"/>
      <c s="2305"/>
      <c s="2012" t="s">
        <v>402</v>
      </c>
      <c r="AO5" s="502"/>
      <c s="502" t="str">
        <f>IF(T5="","",T5)</f>
        <v>Источник тепловой энергии</v>
      </c>
      <c s="502"/>
      <c s="502"/>
      <c s="1157">
        <v>0</v>
      </c>
    </row>
    <row r="6" spans="1:45" ht="0.75" customHeight="1" hidden="1">
      <c r="A6" s="1365"/>
      <c s="1365"/>
      <c s="1365"/>
      <c s="1365"/>
      <c s="2261"/>
      <c s="2261"/>
      <c s="2261"/>
      <c s="2261"/>
      <c s="2258">
        <f>S5&amp;".1"</f>
      </c>
      <c s="1365"/>
      <c s="1365"/>
      <c s="1366" t="s">
        <v>403</v>
      </c>
      <c s="539"/>
      <c r="P6" s="2259">
        <v>1</v>
      </c>
      <c s="1333"/>
      <c s="2008"/>
      <c s="1044"/>
      <c s="1385"/>
      <c s="1386"/>
      <c s="2306"/>
      <c s="2306"/>
      <c s="2306"/>
      <c s="2306"/>
      <c s="2306"/>
      <c s="2306"/>
      <c s="2306"/>
      <c s="2306"/>
      <c s="2306"/>
      <c s="2306"/>
      <c s="2306"/>
      <c s="2306"/>
      <c s="2306"/>
      <c s="2306"/>
      <c s="2306"/>
      <c s="2306"/>
      <c s="2306"/>
      <c s="2013"/>
      <c r="AO6" s="502"/>
      <c s="502" t="str">
        <f>IF(T6="","",T6)</f>
        <v/>
      </c>
      <c s="502"/>
      <c s="502"/>
      <c s="1157">
        <v>0</v>
      </c>
    </row>
    <row r="7" spans="1:45" ht="84" customHeight="1" hidden="1">
      <c r="A7" s="1365"/>
      <c s="1365"/>
      <c s="1365"/>
      <c s="1365"/>
      <c s="2261"/>
      <c s="2261"/>
      <c s="2261"/>
      <c s="2261"/>
      <c s="2288"/>
      <c s="2258">
        <f>I6&amp;".1"</f>
      </c>
      <c s="1365"/>
      <c s="1366" t="s">
        <v>406</v>
      </c>
      <c s="539"/>
      <c s="1368"/>
      <c r="P7" s="2259"/>
      <c s="2259">
        <v>1</v>
      </c>
      <c s="1644"/>
      <c s="2009">
        <f>$J7</f>
      </c>
      <c s="288" t="s">
        <v>407</v>
      </c>
      <c s="302"/>
      <c s="2307"/>
      <c s="2307"/>
      <c s="2307"/>
      <c s="2307"/>
      <c s="2307"/>
      <c s="2307"/>
      <c s="2307"/>
      <c s="2307"/>
      <c s="2307"/>
      <c s="2307"/>
      <c s="2307"/>
      <c s="2307"/>
      <c s="2307"/>
      <c s="2307"/>
      <c s="2307"/>
      <c s="2307"/>
      <c s="2307"/>
      <c s="2012" t="s">
        <v>408</v>
      </c>
      <c r="AO7" s="502"/>
      <c s="502" t="str">
        <f>IF(T7="","",T7)</f>
        <v>Группа потребителей</v>
      </c>
      <c s="502"/>
      <c s="502"/>
      <c s="1157">
        <v>0</v>
      </c>
    </row>
    <row r="8" spans="1:45" ht="11.25" customHeight="1" hidden="1">
      <c r="A8" s="1365"/>
      <c s="1365"/>
      <c s="1365"/>
      <c s="1365"/>
      <c s="2261"/>
      <c s="2261"/>
      <c s="2261"/>
      <c s="2261"/>
      <c s="2288"/>
      <c s="2288"/>
      <c s="2258">
        <f>J7&amp;".1"</f>
      </c>
      <c s="1366" t="s">
        <v>409</v>
      </c>
      <c s="539"/>
      <c s="1368"/>
      <c s="1368"/>
      <c s="2259"/>
      <c s="2259"/>
      <c s="359">
        <v>1</v>
      </c>
      <c s="2011">
        <f>$K8</f>
      </c>
      <c s="2016"/>
      <c s="2017"/>
      <c s="2018"/>
      <c s="1351"/>
      <c s="2018"/>
      <c s="2019"/>
      <c s="2308"/>
      <c s="2114" t="s">
        <v>65</v>
      </c>
      <c s="2308"/>
      <c s="2114" t="s">
        <v>65</v>
      </c>
      <c s="2018"/>
      <c s="1351"/>
      <c s="2018"/>
      <c s="2019"/>
      <c s="2308"/>
      <c s="2114" t="s">
        <v>65</v>
      </c>
      <c s="2308"/>
      <c s="2114" t="s">
        <v>65</v>
      </c>
      <c s="1351"/>
      <c s="2255" t="s">
        <v>410</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1.25" customHeight="1" hidden="1">
      <c r="A10" s="1365"/>
      <c s="1365"/>
      <c s="1365"/>
      <c s="1365"/>
      <c s="2261"/>
      <c s="2261"/>
      <c s="2261"/>
      <c s="2261"/>
      <c s="2288"/>
      <c s="2258"/>
      <c s="1365"/>
      <c s="1366"/>
      <c s="539"/>
      <c s="1368"/>
      <c r="P10" s="2259"/>
      <c s="2259"/>
      <c s="358"/>
      <c s="1280"/>
      <c s="289"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1.25" customHeight="1" hidden="1">
      <c r="A11" s="1365"/>
      <c s="1365"/>
      <c s="1365"/>
      <c s="1365"/>
      <c s="2261"/>
      <c s="2261"/>
      <c s="2261"/>
      <c s="2261"/>
      <c s="2258"/>
      <c s="1365"/>
      <c s="1365"/>
      <c s="1366"/>
      <c s="539"/>
      <c r="P11" s="2259"/>
      <c s="1333"/>
      <c s="358"/>
      <c s="1280"/>
      <c s="367"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0.7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0.7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54.75" customHeight="1">
      <c r="Q26" s="378"/>
      <c s="378"/>
      <c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9"/>
      <c s="2309"/>
      <c s="2309"/>
      <c s="2309"/>
      <c s="2309"/>
      <c s="2309"/>
      <c s="2309"/>
      <c s="2309"/>
      <c s="2309"/>
      <c s="2309"/>
      <c s="2309"/>
      <c s="2309"/>
      <c s="2309"/>
      <c s="2309"/>
      <c s="2309"/>
      <c s="2309"/>
      <c s="2309"/>
      <c s="1245"/>
      <c r="AS26" s="1157">
        <v>52</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77"/>
      <c s="2277"/>
      <c s="2277"/>
      <c s="2277"/>
      <c s="2278"/>
      <c s="2279" t="s">
        <v>430</v>
      </c>
      <c s="2276" t="s">
        <v>429</v>
      </c>
      <c s="2277"/>
      <c s="2277"/>
      <c s="2277"/>
      <c s="2277"/>
      <c s="2277"/>
      <c s="2278"/>
      <c s="2279" t="s">
        <v>431</v>
      </c>
      <c s="2282" t="s">
        <v>432</v>
      </c>
      <c s="2129"/>
      <c r="AS39" s="1157">
        <v>14</v>
      </c>
    </row>
    <row r="40" spans="17:45" ht="35.7" customHeight="1">
      <c r="Q40" s="378"/>
      <c s="378"/>
      <c s="2275"/>
      <c s="2211"/>
      <c s="1033"/>
      <c s="2262" t="s">
        <v>433</v>
      </c>
      <c s="2285"/>
      <c s="2264" t="s">
        <v>435</v>
      </c>
      <c s="2265"/>
      <c s="2264" t="s">
        <v>436</v>
      </c>
      <c s="2271"/>
      <c s="2265"/>
      <c s="2280"/>
      <c s="2262" t="s">
        <v>450</v>
      </c>
      <c s="2285"/>
      <c s="2264" t="s">
        <v>435</v>
      </c>
      <c s="2265"/>
      <c s="2264" t="s">
        <v>436</v>
      </c>
      <c s="2271"/>
      <c s="2265"/>
      <c s="2280"/>
      <c s="2283"/>
      <c s="2129"/>
      <c r="AS40" s="1157">
        <v>34</v>
      </c>
    </row>
    <row r="41" spans="1:45" ht="35.7" customHeight="1">
      <c r="A41" s="1372"/>
      <c s="1372" t="s">
        <v>137</v>
      </c>
      <c s="1372" t="s">
        <v>138</v>
      </c>
      <c s="1372" t="s">
        <v>139</v>
      </c>
      <c s="1366" t="s">
        <v>437</v>
      </c>
      <c s="1366" t="s">
        <v>438</v>
      </c>
      <c s="1366" t="s">
        <v>439</v>
      </c>
      <c s="1366" t="s">
        <v>440</v>
      </c>
      <c s="1366" t="s">
        <v>441</v>
      </c>
      <c s="1366" t="s">
        <v>442</v>
      </c>
      <c s="1366" t="s">
        <v>443</v>
      </c>
      <c s="1366" t="s">
        <v>418</v>
      </c>
      <c r="Q41" s="378"/>
      <c s="378"/>
      <c s="2275"/>
      <c s="2211"/>
      <c s="304"/>
      <c s="2263"/>
      <c s="2286"/>
      <c s="1224" t="s">
        <v>444</v>
      </c>
      <c s="1224" t="s">
        <v>445</v>
      </c>
      <c s="1340" t="s">
        <v>446</v>
      </c>
      <c s="2272" t="s">
        <v>447</v>
      </c>
      <c s="2273"/>
      <c s="2281"/>
      <c s="2263"/>
      <c s="2286"/>
      <c s="1224" t="s">
        <v>444</v>
      </c>
      <c s="1224" t="s">
        <v>445</v>
      </c>
      <c s="1340" t="s">
        <v>446</v>
      </c>
      <c s="2272" t="s">
        <v>447</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182</v>
      </c>
      <c s="1365"/>
      <c s="1365"/>
      <c s="1365"/>
      <c s="2260">
        <v>1</v>
      </c>
      <c s="1365"/>
      <c s="1365"/>
      <c s="1365"/>
      <c s="1365"/>
      <c s="1365"/>
      <c s="1365"/>
      <c s="1366"/>
      <c s="1367"/>
      <c s="1367"/>
      <c s="1367"/>
      <c s="363"/>
      <c s="362"/>
      <c s="357"/>
      <c s="1338">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182</v>
      </c>
      <c s="1365" t="s">
        <v>183</v>
      </c>
      <c s="1365"/>
      <c s="1365"/>
      <c s="2261"/>
      <c s="2260">
        <v>1</v>
      </c>
      <c s="1365"/>
      <c s="1365"/>
      <c s="1365"/>
      <c s="1365"/>
      <c s="1365"/>
      <c s="1366"/>
      <c s="1367"/>
      <c s="1367"/>
      <c s="1367"/>
      <c s="1334"/>
      <c s="354"/>
      <c s="355"/>
      <c s="1338"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21</v>
      </c>
    </row>
    <row r="45" spans="1:45" ht="24" customHeight="1">
      <c r="A45" s="1365" t="s">
        <v>182</v>
      </c>
      <c s="1365" t="s">
        <v>183</v>
      </c>
      <c s="1365" t="s">
        <v>184</v>
      </c>
      <c s="1365"/>
      <c s="2261"/>
      <c s="2261"/>
      <c s="2260">
        <v>1</v>
      </c>
      <c s="1365"/>
      <c s="1365"/>
      <c s="1365"/>
      <c s="1365"/>
      <c s="1366"/>
      <c s="1367"/>
      <c s="1367"/>
      <c s="1367"/>
      <c s="356"/>
      <c s="354"/>
      <c s="355"/>
      <c s="1338"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2.05" customHeight="1">
      <c r="A46" s="1365" t="s">
        <v>182</v>
      </c>
      <c s="1365" t="s">
        <v>183</v>
      </c>
      <c s="1365" t="s">
        <v>184</v>
      </c>
      <c s="1365" t="s">
        <v>185</v>
      </c>
      <c s="2261"/>
      <c s="2261"/>
      <c s="2261"/>
      <c s="2260">
        <v>1</v>
      </c>
      <c s="1365"/>
      <c s="1365"/>
      <c s="1365"/>
      <c s="1366"/>
      <c s="1367"/>
      <c s="1367"/>
      <c s="1367"/>
      <c s="356"/>
      <c s="354"/>
      <c s="355"/>
      <c s="1338"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21</v>
      </c>
    </row>
    <row r="47" spans="1:45" s="1644" customFormat="1" ht="0" customHeight="1">
      <c r="A47" s="1345" t="s">
        <v>182</v>
      </c>
      <c s="1345" t="s">
        <v>183</v>
      </c>
      <c s="1345" t="s">
        <v>184</v>
      </c>
      <c s="1345" t="s">
        <v>185</v>
      </c>
      <c s="2261"/>
      <c s="2261"/>
      <c s="2261"/>
      <c s="2261"/>
      <c s="2258" t="str">
        <f>S46&amp;".1"</f>
        <v>....1</v>
      </c>
      <c s="1345"/>
      <c s="1345"/>
      <c s="1348" t="s">
        <v>403</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182</v>
      </c>
      <c s="1365" t="s">
        <v>183</v>
      </c>
      <c s="1365" t="s">
        <v>184</v>
      </c>
      <c s="1365" t="s">
        <v>185</v>
      </c>
      <c s="2261"/>
      <c s="2261"/>
      <c s="2261"/>
      <c s="2261"/>
      <c s="2288"/>
      <c s="2258" t="str">
        <f>S46&amp;".1"</f>
        <v>....1</v>
      </c>
      <c s="1365"/>
      <c s="1366" t="s">
        <v>406</v>
      </c>
      <c r="P48" s="2259"/>
      <c s="2259">
        <v>1</v>
      </c>
      <c s="359"/>
      <c s="1338" t="str">
        <f>$J48</f>
        <v>....1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21</v>
      </c>
    </row>
    <row r="49" spans="1:45" ht="22.05" customHeight="1">
      <c r="A49" s="1365" t="s">
        <v>182</v>
      </c>
      <c s="1365" t="s">
        <v>183</v>
      </c>
      <c s="1365" t="s">
        <v>184</v>
      </c>
      <c s="1365" t="s">
        <v>185</v>
      </c>
      <c s="2261"/>
      <c s="2261"/>
      <c s="2261"/>
      <c s="2261"/>
      <c s="2288"/>
      <c s="2288"/>
      <c s="2258" t="str">
        <f>J48&amp;".1"</f>
        <v>....1.1</v>
      </c>
      <c s="1366" t="s">
        <v>409</v>
      </c>
      <c r="P49" s="2259"/>
      <c s="2259"/>
      <c s="359">
        <v>1</v>
      </c>
      <c s="1338" t="str">
        <f>$K49</f>
        <v>....1.1</v>
      </c>
      <c s="1349"/>
      <c s="302"/>
      <c s="753"/>
      <c s="327"/>
      <c s="753"/>
      <c s="1259"/>
      <c s="2267"/>
      <c s="2109" t="s">
        <v>65</v>
      </c>
      <c s="2267"/>
      <c s="2109" t="s">
        <v>65</v>
      </c>
      <c s="753"/>
      <c s="327"/>
      <c s="753"/>
      <c s="1259"/>
      <c s="2267"/>
      <c s="2109" t="s">
        <v>65</v>
      </c>
      <c s="2289"/>
      <c s="2109" t="s">
        <v>65</v>
      </c>
      <c s="1350"/>
      <c s="2255" t="s">
        <v>451</v>
      </c>
      <c s="513">
        <f>STRCHECKDATE(V50:AL50)</f>
      </c>
      <c s="502"/>
      <c s="502" t="str">
        <f>IF(T49="","",T49)</f>
        <v/>
      </c>
      <c s="502"/>
      <c s="502"/>
      <c s="1157">
        <v>21</v>
      </c>
    </row>
    <row r="50" spans="1:45" ht="1.05" customHeight="1">
      <c r="A50" s="1365" t="s">
        <v>182</v>
      </c>
      <c s="1365" t="s">
        <v>183</v>
      </c>
      <c s="1365" t="s">
        <v>184</v>
      </c>
      <c s="1365" t="s">
        <v>185</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182</v>
      </c>
      <c s="1365" t="s">
        <v>183</v>
      </c>
      <c s="1365" t="s">
        <v>184</v>
      </c>
      <c s="1365" t="s">
        <v>185</v>
      </c>
      <c s="2261"/>
      <c s="2261"/>
      <c s="2261"/>
      <c s="2261"/>
      <c s="2288"/>
      <c s="2258"/>
      <c s="1365"/>
      <c s="1366"/>
      <c r="P51" s="2259"/>
      <c s="2259"/>
      <c s="358"/>
      <c s="1280"/>
      <c s="289"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182</v>
      </c>
      <c s="1365" t="s">
        <v>183</v>
      </c>
      <c s="1365" t="s">
        <v>184</v>
      </c>
      <c s="1365" t="s">
        <v>185</v>
      </c>
      <c s="2261"/>
      <c s="2261"/>
      <c s="2261"/>
      <c s="2261"/>
      <c s="2258"/>
      <c s="1365"/>
      <c s="1365"/>
      <c s="1366"/>
      <c r="P52" s="2259"/>
      <c s="1333"/>
      <c s="358"/>
      <c s="1280"/>
      <c s="367"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182</v>
      </c>
      <c s="1365" t="s">
        <v>183</v>
      </c>
      <c s="1365" t="s">
        <v>184</v>
      </c>
      <c s="1365" t="s">
        <v>185</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1.05" customHeight="1">
      <c r="A54" s="1345" t="s">
        <v>182</v>
      </c>
      <c s="1345" t="s">
        <v>183</v>
      </c>
      <c s="1345" t="s">
        <v>184</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182</v>
      </c>
      <c s="1345" t="s">
        <v>183</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182</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3.25" customHeight="1">
      <c r="O59" s="539"/>
      <c r="S59" s="1255"/>
      <c s="2287"/>
      <c s="2287"/>
      <c s="2287"/>
      <c s="2287"/>
      <c s="2287"/>
      <c s="2287"/>
      <c s="2287"/>
      <c s="2287"/>
      <c s="2287"/>
      <c s="2287"/>
      <c s="2287"/>
      <c s="2287"/>
      <c s="2287"/>
      <c s="2287"/>
      <c s="2287"/>
      <c s="2287"/>
      <c s="2287"/>
      <c s="2287"/>
      <c s="2287"/>
      <c s="2287"/>
      <c r="AS59" s="1157">
        <v>22</v>
      </c>
    </row>
    <row r="60" spans="15:45" ht="30.45" customHeight="1">
      <c r="O60" s="539"/>
      <c r="T60" s="2287"/>
      <c s="2287"/>
      <c s="2287"/>
      <c s="2287"/>
      <c s="2287"/>
      <c s="2287"/>
      <c s="2287"/>
      <c s="2287"/>
      <c s="2287"/>
      <c s="2287"/>
      <c s="2287"/>
      <c s="2287"/>
      <c s="2287"/>
      <c s="2287"/>
      <c s="2287"/>
      <c s="2287"/>
      <c s="2287"/>
      <c s="2287"/>
      <c s="2287"/>
      <c s="2287"/>
      <c r="AS60" s="1157">
        <v>29</v>
      </c>
    </row>
    <row r="61" spans="15:45" ht="42" customHeight="1">
      <c r="O61" s="539"/>
      <c r="T61" s="2287"/>
      <c s="2287"/>
      <c s="2287"/>
      <c s="2287"/>
      <c s="2287"/>
      <c s="2287"/>
      <c s="2287"/>
      <c s="2287"/>
      <c s="2287"/>
      <c s="2287"/>
      <c s="2287"/>
      <c s="2287"/>
      <c s="2287"/>
      <c s="2287"/>
      <c s="2287"/>
      <c s="2287"/>
      <c s="2287"/>
      <c s="2287"/>
      <c s="2287"/>
      <c s="2287"/>
      <c r="AS61" s="1157">
        <v>40</v>
      </c>
    </row>
    <row r="62" spans="15:45" ht="14.7" customHeight="1">
      <c r="O62" s="539"/>
      <c r="AS62" s="1157">
        <v>14</v>
      </c>
    </row>
    <row r="63" spans="15:45" ht="21" customHeight="1">
      <c r="O63" s="539"/>
      <c r="S63" s="1255"/>
      <c s="2301"/>
      <c s="2287"/>
      <c s="2287"/>
      <c s="2287"/>
      <c s="2287"/>
      <c s="2287"/>
      <c s="2287"/>
      <c s="2287"/>
      <c s="2287"/>
      <c s="2287"/>
      <c s="2287"/>
      <c s="2287"/>
      <c s="2287"/>
      <c s="2287"/>
      <c s="2287"/>
      <c s="2287"/>
      <c s="2287"/>
      <c s="2287"/>
      <c s="2287"/>
      <c s="2287"/>
      <c r="AS63" s="1157">
        <v>20</v>
      </c>
    </row>
    <row r="64" spans="15:45" ht="29.25" customHeight="1">
      <c r="O64" s="539"/>
      <c r="T64" s="2287"/>
      <c s="2287"/>
      <c s="2287"/>
      <c s="2287"/>
      <c s="2287"/>
      <c s="2287"/>
      <c s="2287"/>
      <c s="2287"/>
      <c s="2287"/>
      <c s="2287"/>
      <c s="2287"/>
      <c s="2287"/>
      <c s="2287"/>
      <c s="2287"/>
      <c s="2287"/>
      <c s="2287"/>
      <c s="2287"/>
      <c s="2287"/>
      <c s="2287"/>
      <c s="2287"/>
      <c r="AS64" s="1157">
        <v>28</v>
      </c>
    </row>
    <row r="65" spans="20:45" ht="35.7" customHeight="1">
      <c r="T65" s="2287"/>
      <c s="2287"/>
      <c s="2287"/>
      <c s="2287"/>
      <c s="2287"/>
      <c s="2287"/>
      <c s="2287"/>
      <c s="2287"/>
      <c s="2287"/>
      <c s="2287"/>
      <c s="2287"/>
      <c s="2287"/>
      <c s="2287"/>
      <c s="2287"/>
      <c s="2287"/>
      <c s="2287"/>
      <c s="2287"/>
      <c s="2287"/>
      <c s="2287"/>
      <c s="2287"/>
      <c r="AS65" s="1157">
        <v>34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F67A7D-B0CF-F0B4-3B78-0.BFE2846F}"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125</v>
      </c>
      <c s="302"/>
      <c s="2244"/>
      <c s="2245"/>
      <c s="2245"/>
      <c s="2245"/>
      <c s="2245"/>
      <c s="2245"/>
      <c s="2245"/>
      <c s="2246"/>
      <c s="2244">
        <f>INDEX(PT_DIFFERENTIATION_NTAR,MATCH(A2,PT_DIFFERENTIATION_NTAR_ID,0))</f>
      </c>
      <c s="2245"/>
      <c s="2245"/>
      <c s="2245"/>
      <c s="2245"/>
      <c s="2245"/>
      <c s="2245"/>
      <c s="2245"/>
      <c s="2246"/>
      <c s="1260" t="s">
        <v>396</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397</v>
      </c>
      <c s="302"/>
      <c s="2244"/>
      <c s="2245"/>
      <c s="2245"/>
      <c s="2245"/>
      <c s="2245"/>
      <c s="2245"/>
      <c s="2245"/>
      <c s="2246"/>
      <c s="2244">
        <f>INDEX(PT_DIFFERENTIATION_TER,MATCH(B3,PT_DIFFERENTIATION_TER_ID,0))</f>
      </c>
      <c s="2245"/>
      <c s="2245"/>
      <c s="2245"/>
      <c s="2245"/>
      <c s="2245"/>
      <c s="2245"/>
      <c s="2245"/>
      <c s="2246"/>
      <c s="1260" t="s">
        <v>398</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399</v>
      </c>
      <c s="302"/>
      <c s="2244"/>
      <c s="2245"/>
      <c s="2245"/>
      <c s="2245"/>
      <c s="2245"/>
      <c s="2245"/>
      <c s="2245"/>
      <c s="2246"/>
      <c s="2244">
        <f>INDEX(PT_DIFFERENTIATION_CS,MATCH(C4,PT_DIFFERENTIATION_CS_ID,0))</f>
      </c>
      <c s="2245"/>
      <c s="2245"/>
      <c s="2245"/>
      <c s="2245"/>
      <c s="2245"/>
      <c s="2245"/>
      <c s="2245"/>
      <c s="2246"/>
      <c s="1260" t="s">
        <v>400</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401</v>
      </c>
      <c s="302"/>
      <c s="2244"/>
      <c s="2245"/>
      <c s="2245"/>
      <c s="2245"/>
      <c s="2245"/>
      <c s="2245"/>
      <c s="2245"/>
      <c s="2246"/>
      <c s="2244">
        <f>INDEX(PT_DIFFERENTIATION_IST_TE,MATCH(D5,PT_DIFFERENTIATION_IST_TE_ID,0))</f>
      </c>
      <c s="2245"/>
      <c s="2245"/>
      <c s="2245"/>
      <c s="2245"/>
      <c s="2245"/>
      <c s="2245"/>
      <c s="2245"/>
      <c s="2246"/>
      <c s="1260" t="s">
        <v>402</v>
      </c>
      <c r="AO5" s="502"/>
      <c s="502" t="str">
        <f>IF(T5="","",T5)</f>
        <v>Источник тепловой энергии</v>
      </c>
      <c s="502"/>
      <c s="502"/>
      <c s="1157">
        <v>0</v>
      </c>
    </row>
    <row r="6" spans="1:45" ht="14.25" customHeight="1" hidden="1">
      <c r="A6" s="1365"/>
      <c s="1365"/>
      <c s="1365"/>
      <c s="1365"/>
      <c s="2261"/>
      <c s="2261"/>
      <c s="2261"/>
      <c s="2261"/>
      <c s="2258">
        <f>S5&amp;".1"</f>
      </c>
      <c s="1365"/>
      <c s="1365"/>
      <c s="1366" t="s">
        <v>403</v>
      </c>
      <c s="539"/>
      <c r="P6" s="2259">
        <v>1</v>
      </c>
      <c s="1333"/>
      <c s="358"/>
      <c s="1044"/>
      <c s="1385"/>
      <c s="1386"/>
      <c s="2298"/>
      <c s="2299"/>
      <c s="2299"/>
      <c s="2299"/>
      <c s="2299"/>
      <c s="2299"/>
      <c s="2299"/>
      <c s="2300"/>
      <c s="2298"/>
      <c s="2299"/>
      <c s="2299"/>
      <c s="2299"/>
      <c s="2299"/>
      <c s="2299"/>
      <c s="2299"/>
      <c s="2299"/>
      <c s="2300"/>
      <c s="1387"/>
      <c r="AO6" s="502"/>
      <c s="502" t="str">
        <f>IF(T6="","",T6)</f>
        <v/>
      </c>
      <c s="502"/>
      <c s="502"/>
      <c s="1157">
        <v>0</v>
      </c>
    </row>
    <row r="7" spans="1:45" ht="21" customHeight="1" hidden="1">
      <c r="A7" s="1365"/>
      <c s="1365"/>
      <c s="1365"/>
      <c s="1365"/>
      <c s="2261"/>
      <c s="2261"/>
      <c s="2261"/>
      <c s="2261"/>
      <c s="2288"/>
      <c s="2258">
        <f>I6&amp;".1"</f>
      </c>
      <c s="1365"/>
      <c s="1366" t="s">
        <v>406</v>
      </c>
      <c s="539"/>
      <c s="1368"/>
      <c r="P7" s="2259"/>
      <c s="2259">
        <v>1</v>
      </c>
      <c s="359"/>
      <c s="1338">
        <f>$J7</f>
      </c>
      <c s="288" t="s">
        <v>407</v>
      </c>
      <c s="302"/>
      <c s="2247"/>
      <c s="2248"/>
      <c s="2248"/>
      <c s="2248"/>
      <c s="2248"/>
      <c s="2248"/>
      <c s="2248"/>
      <c s="2249"/>
      <c s="2247"/>
      <c s="2248"/>
      <c s="2248"/>
      <c s="2248"/>
      <c s="2248"/>
      <c s="2248"/>
      <c s="2248"/>
      <c s="2248"/>
      <c s="2249"/>
      <c s="1260" t="s">
        <v>408</v>
      </c>
      <c r="AO7" s="502"/>
      <c s="502" t="str">
        <f>IF(T7="","",T7)</f>
        <v>Группа потребителей</v>
      </c>
      <c s="502"/>
      <c s="502"/>
      <c s="1157">
        <v>0</v>
      </c>
    </row>
    <row r="8" spans="1:45" ht="21" customHeight="1" hidden="1">
      <c r="A8" s="1365"/>
      <c s="1365"/>
      <c s="1365"/>
      <c s="1365"/>
      <c s="2261"/>
      <c s="2261"/>
      <c s="2261"/>
      <c s="2261"/>
      <c s="2288"/>
      <c s="2288"/>
      <c s="2258">
        <f>J7&amp;".1"</f>
      </c>
      <c s="1366" t="s">
        <v>409</v>
      </c>
      <c s="539"/>
      <c s="1368"/>
      <c s="1368"/>
      <c s="2259"/>
      <c s="2259"/>
      <c s="359">
        <v>1</v>
      </c>
      <c s="1338">
        <f>$K8</f>
      </c>
      <c s="1349"/>
      <c s="302"/>
      <c s="753"/>
      <c s="327"/>
      <c s="753"/>
      <c s="1259"/>
      <c s="2267"/>
      <c s="2109" t="s">
        <v>65</v>
      </c>
      <c s="2267"/>
      <c s="2109" t="s">
        <v>65</v>
      </c>
      <c s="753"/>
      <c s="327"/>
      <c s="753"/>
      <c s="1259"/>
      <c s="2267"/>
      <c s="2109" t="s">
        <v>65</v>
      </c>
      <c s="2267"/>
      <c s="2109" t="s">
        <v>65</v>
      </c>
      <c s="327"/>
      <c s="2255" t="s">
        <v>410</v>
      </c>
      <c s="513">
        <f>STRCHECKDATE(V9:AL9)</f>
      </c>
      <c s="502"/>
      <c s="502" t="str">
        <f>IF(T8="","",T8)</f>
        <v/>
      </c>
      <c s="502"/>
      <c s="502"/>
      <c s="1157">
        <v>0</v>
      </c>
    </row>
    <row r="9" spans="1:45" ht="14.2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89" t="s">
        <v>411</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1.25" customHeight="1" hidden="1">
      <c r="A11" s="1365"/>
      <c s="1365"/>
      <c s="1365"/>
      <c s="1365"/>
      <c s="2261"/>
      <c s="2261"/>
      <c s="2261"/>
      <c s="2261"/>
      <c s="2258"/>
      <c s="1365"/>
      <c s="1365"/>
      <c s="1366"/>
      <c s="539"/>
      <c r="P11" s="2259"/>
      <c s="1333"/>
      <c s="358"/>
      <c s="1280"/>
      <c s="367" t="s">
        <v>412</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14.25" customHeight="1" hidden="1">
      <c r="A13" s="1316"/>
      <c s="1316"/>
      <c s="1316"/>
      <c s="1316"/>
      <c s="2261"/>
      <c s="2261"/>
      <c s="2260"/>
      <c s="1316"/>
      <c s="1316"/>
      <c s="1316"/>
      <c s="1316"/>
      <c s="1341"/>
      <c s="1317"/>
      <c s="1317"/>
      <c r="P13" s="1318"/>
      <c s="1319"/>
      <c s="1318"/>
      <c s="1320"/>
      <c s="1321" t="s">
        <v>414</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14.25" customHeight="1" hidden="1">
      <c r="A14" s="1316"/>
      <c s="1316"/>
      <c s="1316"/>
      <c s="1316"/>
      <c s="2261"/>
      <c s="2260"/>
      <c s="1316"/>
      <c s="1316"/>
      <c s="1316"/>
      <c s="1316"/>
      <c s="1316"/>
      <c s="1341"/>
      <c s="1323"/>
      <c s="1323"/>
      <c r="P14" s="1318"/>
      <c s="1319"/>
      <c s="1318"/>
      <c s="1324"/>
      <c s="1325" t="s">
        <v>415</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14.25" customHeight="1" hidden="1">
      <c r="A15" s="1316"/>
      <c s="1316"/>
      <c s="1316"/>
      <c s="1316"/>
      <c s="2260"/>
      <c s="1316"/>
      <c s="1316"/>
      <c s="1316"/>
      <c s="1316"/>
      <c s="1316"/>
      <c s="1316"/>
      <c s="1341"/>
      <c s="1323"/>
      <c s="1323"/>
      <c r="P15" s="1318"/>
      <c s="1319"/>
      <c s="1318"/>
      <c s="1324"/>
      <c s="1327" t="s">
        <v>416</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417</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418</v>
      </c>
      <c s="1364"/>
      <c s="1373"/>
      <c s="1373"/>
      <c s="731"/>
      <c s="1162" t="s">
        <v>419</v>
      </c>
      <c r="AA22" s="188" t="s">
        <v>420</v>
      </c>
      <c r="AC22" s="188" t="s">
        <v>421</v>
      </c>
      <c s="1162" t="s">
        <v>419</v>
      </c>
      <c r="AI22" s="188" t="s">
        <v>422</v>
      </c>
      <c r="AK22" s="188" t="s">
        <v>421</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53.55" customHeight="1">
      <c r="Q26" s="378"/>
      <c s="378"/>
      <c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0"/>
      <c s="2250"/>
      <c s="2250"/>
      <c s="2250"/>
      <c s="2250"/>
      <c s="2250"/>
      <c s="2250"/>
      <c s="2250"/>
      <c s="2250"/>
      <c s="2250"/>
      <c s="2250"/>
      <c s="2250"/>
      <c s="2250"/>
      <c s="2250"/>
      <c s="2250"/>
      <c s="2250"/>
      <c s="2250"/>
      <c s="1245"/>
      <c r="AS26" s="1157">
        <v>51</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425</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25.5" customHeight="1" hidden="1">
      <c r="A35" s="1370"/>
      <c s="1370"/>
      <c s="1370"/>
      <c s="1370"/>
      <c s="1370"/>
      <c s="1370"/>
      <c s="1370"/>
      <c s="1370"/>
      <c s="1370"/>
      <c s="1370"/>
      <c s="1370"/>
      <c s="1371"/>
      <c s="1370"/>
      <c s="1370"/>
      <c s="1370"/>
      <c r="S35" s="2252" t="s">
        <v>426</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427</v>
      </c>
      <c s="328"/>
      <c s="328"/>
      <c s="328"/>
      <c s="328"/>
      <c s="328"/>
      <c s="328"/>
      <c s="328"/>
      <c s="280" t="s">
        <v>427</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300</v>
      </c>
      <c s="2129"/>
      <c s="2129"/>
      <c s="2129"/>
      <c s="2129"/>
      <c s="2129"/>
      <c s="2129"/>
      <c s="2129"/>
      <c s="2129"/>
      <c s="2129"/>
      <c s="2129"/>
      <c s="2129"/>
      <c s="2129"/>
      <c s="2129"/>
      <c s="2129"/>
      <c s="2129"/>
      <c s="2129"/>
      <c s="2129"/>
      <c s="2129"/>
      <c s="2129"/>
      <c s="2129" t="s">
        <v>301</v>
      </c>
      <c r="AS38" s="1157">
        <v>14</v>
      </c>
    </row>
    <row r="39" spans="17:45" ht="14.7" customHeight="1">
      <c r="Q39" s="378"/>
      <c s="378"/>
      <c s="2275" t="s">
        <v>87</v>
      </c>
      <c s="2211" t="s">
        <v>428</v>
      </c>
      <c s="303"/>
      <c s="2276" t="s">
        <v>429</v>
      </c>
      <c s="2277"/>
      <c s="2277"/>
      <c s="2277"/>
      <c s="2277"/>
      <c s="2277"/>
      <c s="2278"/>
      <c s="2279" t="s">
        <v>430</v>
      </c>
      <c s="2276" t="s">
        <v>429</v>
      </c>
      <c s="2277"/>
      <c s="2277"/>
      <c s="2277"/>
      <c s="2277"/>
      <c s="2277"/>
      <c s="2278"/>
      <c s="2279" t="s">
        <v>431</v>
      </c>
      <c s="2282" t="s">
        <v>432</v>
      </c>
      <c s="2129"/>
      <c r="AS39" s="1157">
        <v>14</v>
      </c>
    </row>
    <row r="40" spans="17:45" ht="35.7" customHeight="1">
      <c r="Q40" s="378"/>
      <c s="378"/>
      <c s="2275"/>
      <c s="2211"/>
      <c s="1033"/>
      <c s="2262" t="s">
        <v>433</v>
      </c>
      <c s="2285"/>
      <c s="2264" t="s">
        <v>435</v>
      </c>
      <c s="2265"/>
      <c s="2264" t="s">
        <v>436</v>
      </c>
      <c s="2271"/>
      <c s="2265"/>
      <c s="2280"/>
      <c s="2262" t="s">
        <v>450</v>
      </c>
      <c s="2285"/>
      <c s="2264" t="s">
        <v>435</v>
      </c>
      <c s="2265"/>
      <c s="2264" t="s">
        <v>436</v>
      </c>
      <c s="2271"/>
      <c s="2265"/>
      <c s="2280"/>
      <c s="2283"/>
      <c s="2129"/>
      <c r="AS40" s="1157">
        <v>34</v>
      </c>
    </row>
    <row r="41" spans="1:45" ht="35.7" customHeight="1">
      <c r="A41" s="1372"/>
      <c s="1372" t="s">
        <v>137</v>
      </c>
      <c s="1372" t="s">
        <v>138</v>
      </c>
      <c s="1372" t="s">
        <v>139</v>
      </c>
      <c s="1366" t="s">
        <v>437</v>
      </c>
      <c s="1366" t="s">
        <v>438</v>
      </c>
      <c s="1366" t="s">
        <v>439</v>
      </c>
      <c s="1366" t="s">
        <v>440</v>
      </c>
      <c s="1366" t="s">
        <v>441</v>
      </c>
      <c s="1366" t="s">
        <v>442</v>
      </c>
      <c s="1366" t="s">
        <v>443</v>
      </c>
      <c s="1366" t="s">
        <v>418</v>
      </c>
      <c r="Q41" s="378"/>
      <c s="378"/>
      <c s="2275"/>
      <c s="2211"/>
      <c s="304"/>
      <c s="2263"/>
      <c s="2286"/>
      <c s="1224" t="s">
        <v>444</v>
      </c>
      <c s="1224" t="s">
        <v>445</v>
      </c>
      <c s="1340" t="s">
        <v>446</v>
      </c>
      <c s="2272" t="s">
        <v>447</v>
      </c>
      <c s="2273"/>
      <c s="2281"/>
      <c s="2263"/>
      <c s="2286"/>
      <c s="1224" t="s">
        <v>444</v>
      </c>
      <c s="1224" t="s">
        <v>445</v>
      </c>
      <c s="1340" t="s">
        <v>446</v>
      </c>
      <c s="2272" t="s">
        <v>447</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109</v>
      </c>
      <c s="1257" t="s">
        <v>110</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188</v>
      </c>
      <c s="1365"/>
      <c s="1365"/>
      <c s="1365"/>
      <c s="2260">
        <v>1</v>
      </c>
      <c s="1365"/>
      <c s="1365"/>
      <c s="1365"/>
      <c s="1365"/>
      <c s="1365"/>
      <c s="1365"/>
      <c s="1366"/>
      <c s="1367"/>
      <c s="1367"/>
      <c s="1367"/>
      <c s="363"/>
      <c s="362"/>
      <c s="357"/>
      <c s="1338">
        <f>INDEX(PT_DIFFERENTIATION_NUM_NTAR,MATCH(A43,PT_DIFFERENTIATION_NTAR_ID,0))</f>
        <v>0</v>
      </c>
      <c s="300" t="s">
        <v>125</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188</v>
      </c>
      <c s="1365" t="s">
        <v>189</v>
      </c>
      <c s="1365"/>
      <c s="1365"/>
      <c s="2261"/>
      <c s="2260">
        <v>1</v>
      </c>
      <c s="1365"/>
      <c s="1365"/>
      <c s="1365"/>
      <c s="1365"/>
      <c s="1365"/>
      <c s="1366"/>
      <c s="1367"/>
      <c s="1367"/>
      <c s="1367"/>
      <c s="1334"/>
      <c s="354"/>
      <c s="355"/>
      <c s="1338" t="str">
        <f>INDEX(PT_DIFFERENTIATION_NUM_TER,MATCH(B44,PT_DIFFERENTIATION_TER_ID,0))</f>
        <v>.</v>
      </c>
      <c s="310" t="s">
        <v>397</v>
      </c>
      <c s="302"/>
      <c s="2244"/>
      <c s="2245"/>
      <c s="2245"/>
      <c s="2245"/>
      <c s="2245"/>
      <c s="2245"/>
      <c s="2245"/>
      <c s="2246"/>
      <c s="2244" t="str">
        <f>INDEX(PT_DIFFERENTIATION_TER,MATCH(B44,PT_DIFFERENTIATION_TER_ID,0))</f>
        <v/>
      </c>
      <c s="2245"/>
      <c s="2245"/>
      <c s="2245"/>
      <c s="2245"/>
      <c s="2245"/>
      <c s="2245"/>
      <c s="2245"/>
      <c s="2246"/>
      <c s="1260" t="s">
        <v>398</v>
      </c>
      <c r="AO44" s="502"/>
      <c s="502" t="str">
        <f>IF(T44="","",T44)</f>
        <v>Территория действия тарифа</v>
      </c>
      <c s="502"/>
      <c s="502"/>
      <c s="1157">
        <v>21</v>
      </c>
    </row>
    <row r="45" spans="1:45" ht="24" customHeight="1">
      <c r="A45" s="1365" t="s">
        <v>188</v>
      </c>
      <c s="1365" t="s">
        <v>189</v>
      </c>
      <c s="1365" t="s">
        <v>190</v>
      </c>
      <c s="1365"/>
      <c s="2261"/>
      <c s="2261"/>
      <c s="2260">
        <v>1</v>
      </c>
      <c s="1365"/>
      <c s="1365"/>
      <c s="1365"/>
      <c s="1365"/>
      <c s="1366"/>
      <c s="1367"/>
      <c s="1367"/>
      <c s="1367"/>
      <c s="356"/>
      <c s="354"/>
      <c s="355"/>
      <c s="1338" t="str">
        <f>INDEX(PT_DIFFERENTIATION_NUM_CS,MATCH(C45,PT_DIFFERENTIATION_CS_ID,0))</f>
        <v>..</v>
      </c>
      <c s="311" t="s">
        <v>399</v>
      </c>
      <c s="302"/>
      <c s="2244"/>
      <c s="2245"/>
      <c s="2245"/>
      <c s="2245"/>
      <c s="2245"/>
      <c s="2245"/>
      <c s="2245"/>
      <c s="2246"/>
      <c s="2244" t="str">
        <f>INDEX(PT_DIFFERENTIATION_CS,MATCH(C45,PT_DIFFERENTIATION_CS_ID,0))</f>
        <v/>
      </c>
      <c s="2245"/>
      <c s="2245"/>
      <c s="2245"/>
      <c s="2245"/>
      <c s="2245"/>
      <c s="2245"/>
      <c s="2245"/>
      <c s="2246"/>
      <c s="1260" t="s">
        <v>400</v>
      </c>
      <c r="AO45" s="502"/>
      <c s="502" t="str">
        <f>IF(T45="","",T45)</f>
        <v>Наименование системы теплоснабжения</v>
      </c>
      <c s="502"/>
      <c s="502"/>
      <c s="1157">
        <v>23</v>
      </c>
    </row>
    <row r="46" spans="1:45" ht="22.05" customHeight="1">
      <c r="A46" s="1365" t="s">
        <v>188</v>
      </c>
      <c s="1365" t="s">
        <v>189</v>
      </c>
      <c s="1365" t="s">
        <v>190</v>
      </c>
      <c s="1365" t="s">
        <v>191</v>
      </c>
      <c s="2261"/>
      <c s="2261"/>
      <c s="2261"/>
      <c s="2260">
        <v>1</v>
      </c>
      <c s="1365"/>
      <c s="1365"/>
      <c s="1365"/>
      <c s="1366"/>
      <c s="1367"/>
      <c s="1367"/>
      <c s="1367"/>
      <c s="356"/>
      <c s="354"/>
      <c s="355"/>
      <c s="1338" t="str">
        <f>INDEX(PT_DIFFERENTIATION_NUM_IST_TE,MATCH(D46,PT_DIFFERENTIATION_IST_TE_ID,0))</f>
        <v>...</v>
      </c>
      <c s="312" t="s">
        <v>401</v>
      </c>
      <c s="302"/>
      <c s="2244"/>
      <c s="2245"/>
      <c s="2245"/>
      <c s="2245"/>
      <c s="2245"/>
      <c s="2245"/>
      <c s="2245"/>
      <c s="2246"/>
      <c s="2244" t="str">
        <f>INDEX(PT_DIFFERENTIATION_IST_TE,MATCH(D46,PT_DIFFERENTIATION_IST_TE_ID,0))</f>
        <v/>
      </c>
      <c s="2245"/>
      <c s="2245"/>
      <c s="2245"/>
      <c s="2245"/>
      <c s="2245"/>
      <c s="2245"/>
      <c s="2245"/>
      <c s="2246"/>
      <c s="1260" t="s">
        <v>402</v>
      </c>
      <c r="AO46" s="502"/>
      <c s="502" t="str">
        <f>IF(T46="","",T46)</f>
        <v>Источник тепловой энергии</v>
      </c>
      <c s="502"/>
      <c s="502"/>
      <c s="1157">
        <v>21</v>
      </c>
    </row>
    <row r="47" spans="1:45" s="1644" customFormat="1" ht="0" customHeight="1">
      <c r="A47" s="1345" t="s">
        <v>188</v>
      </c>
      <c s="1345" t="s">
        <v>189</v>
      </c>
      <c s="1345" t="s">
        <v>190</v>
      </c>
      <c s="1345" t="s">
        <v>191</v>
      </c>
      <c s="2261"/>
      <c s="2261"/>
      <c s="2261"/>
      <c s="2261"/>
      <c s="2258" t="str">
        <f>S46&amp;".1"</f>
        <v>....1</v>
      </c>
      <c s="1345"/>
      <c s="1345"/>
      <c s="1348" t="s">
        <v>403</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188</v>
      </c>
      <c s="1365" t="s">
        <v>189</v>
      </c>
      <c s="1365" t="s">
        <v>190</v>
      </c>
      <c s="1365" t="s">
        <v>191</v>
      </c>
      <c s="2261"/>
      <c s="2261"/>
      <c s="2261"/>
      <c s="2261"/>
      <c s="2288"/>
      <c s="2258" t="str">
        <f>S46&amp;".1"</f>
        <v>....1</v>
      </c>
      <c s="1365"/>
      <c s="1366" t="s">
        <v>406</v>
      </c>
      <c r="P48" s="2259"/>
      <c s="2259">
        <v>1</v>
      </c>
      <c s="359"/>
      <c s="1338" t="str">
        <f>$J48</f>
        <v>....1</v>
      </c>
      <c s="288" t="s">
        <v>407</v>
      </c>
      <c s="302"/>
      <c s="2247"/>
      <c s="2248"/>
      <c s="2248"/>
      <c s="2248"/>
      <c s="2248"/>
      <c s="2248"/>
      <c s="2248"/>
      <c s="2249"/>
      <c s="2247"/>
      <c s="2248"/>
      <c s="2248"/>
      <c s="2248"/>
      <c s="2248"/>
      <c s="2248"/>
      <c s="2248"/>
      <c s="2248"/>
      <c s="2249"/>
      <c s="1260" t="s">
        <v>408</v>
      </c>
      <c r="AO48" s="502"/>
      <c s="502" t="str">
        <f>IF(T48="","",T48)</f>
        <v>Группа потребителей</v>
      </c>
      <c s="502"/>
      <c s="502"/>
      <c s="1157">
        <v>21</v>
      </c>
    </row>
    <row r="49" spans="1:45" ht="22.05" customHeight="1">
      <c r="A49" s="1365" t="s">
        <v>188</v>
      </c>
      <c s="1365" t="s">
        <v>189</v>
      </c>
      <c s="1365" t="s">
        <v>190</v>
      </c>
      <c s="1365" t="s">
        <v>191</v>
      </c>
      <c s="2261"/>
      <c s="2261"/>
      <c s="2261"/>
      <c s="2261"/>
      <c s="2288"/>
      <c s="2288"/>
      <c s="2258" t="str">
        <f>J48&amp;".1"</f>
        <v>....1.1</v>
      </c>
      <c s="1366" t="s">
        <v>409</v>
      </c>
      <c r="P49" s="2259"/>
      <c s="2259"/>
      <c s="359">
        <v>1</v>
      </c>
      <c s="1338" t="str">
        <f>$K49</f>
        <v>....1.1</v>
      </c>
      <c s="1349"/>
      <c s="302"/>
      <c s="753"/>
      <c s="327"/>
      <c s="753"/>
      <c s="1259"/>
      <c s="2267"/>
      <c s="2109" t="s">
        <v>65</v>
      </c>
      <c s="2267"/>
      <c s="2109" t="s">
        <v>65</v>
      </c>
      <c s="753"/>
      <c s="327"/>
      <c s="753"/>
      <c s="1259"/>
      <c s="2267"/>
      <c s="2109" t="s">
        <v>65</v>
      </c>
      <c s="2289"/>
      <c s="2109" t="s">
        <v>65</v>
      </c>
      <c s="1350"/>
      <c s="2255" t="s">
        <v>451</v>
      </c>
      <c s="513">
        <f>STRCHECKDATE(V50:AL50)</f>
      </c>
      <c s="502"/>
      <c s="502" t="str">
        <f>IF(T49="","",T49)</f>
        <v/>
      </c>
      <c s="502"/>
      <c s="502"/>
      <c s="1157">
        <v>21</v>
      </c>
    </row>
    <row r="50" spans="1:45" ht="0" customHeight="1">
      <c r="A50" s="1365" t="s">
        <v>188</v>
      </c>
      <c s="1365" t="s">
        <v>189</v>
      </c>
      <c s="1365" t="s">
        <v>190</v>
      </c>
      <c s="1365" t="s">
        <v>191</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0</v>
      </c>
    </row>
    <row r="51" spans="1:45" ht="11.55" customHeight="1">
      <c r="A51" s="1365" t="s">
        <v>188</v>
      </c>
      <c s="1365" t="s">
        <v>189</v>
      </c>
      <c s="1365" t="s">
        <v>190</v>
      </c>
      <c s="1365" t="s">
        <v>191</v>
      </c>
      <c s="2261"/>
      <c s="2261"/>
      <c s="2261"/>
      <c s="2261"/>
      <c s="2288"/>
      <c s="2258"/>
      <c s="1365"/>
      <c s="1366"/>
      <c r="P51" s="2259"/>
      <c s="2259"/>
      <c s="358"/>
      <c s="1280"/>
      <c s="289" t="s">
        <v>411</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188</v>
      </c>
      <c s="1365" t="s">
        <v>189</v>
      </c>
      <c s="1365" t="s">
        <v>190</v>
      </c>
      <c s="1365" t="s">
        <v>191</v>
      </c>
      <c s="2261"/>
      <c s="2261"/>
      <c s="2261"/>
      <c s="2261"/>
      <c s="2258"/>
      <c s="1365"/>
      <c s="1365"/>
      <c s="1366"/>
      <c r="P52" s="2259"/>
      <c s="1333"/>
      <c s="358"/>
      <c s="1280"/>
      <c s="367" t="s">
        <v>412</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188</v>
      </c>
      <c s="1365" t="s">
        <v>189</v>
      </c>
      <c s="1365" t="s">
        <v>190</v>
      </c>
      <c s="1365" t="s">
        <v>191</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0" customHeight="1">
      <c r="A54" s="1345" t="s">
        <v>188</v>
      </c>
      <c s="1345" t="s">
        <v>189</v>
      </c>
      <c s="1345" t="s">
        <v>190</v>
      </c>
      <c s="1316"/>
      <c s="2261"/>
      <c s="2261"/>
      <c s="2260"/>
      <c s="1316"/>
      <c s="1316"/>
      <c s="1316"/>
      <c s="1316"/>
      <c s="1341"/>
      <c s="1317"/>
      <c s="1317"/>
      <c r="P54" s="1318"/>
      <c s="1319"/>
      <c s="1318"/>
      <c s="1324"/>
      <c s="1327" t="s">
        <v>414</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0</v>
      </c>
    </row>
    <row r="55" spans="1:45" s="1644" customFormat="1" ht="0" customHeight="1">
      <c r="A55" s="1345" t="s">
        <v>188</v>
      </c>
      <c s="1345" t="s">
        <v>189</v>
      </c>
      <c s="1316"/>
      <c s="1316"/>
      <c s="2261"/>
      <c s="2260"/>
      <c s="1316"/>
      <c s="1316"/>
      <c s="1316"/>
      <c s="1316"/>
      <c s="1316"/>
      <c s="1341"/>
      <c s="1323"/>
      <c s="1323"/>
      <c r="P55" s="1318"/>
      <c s="1319"/>
      <c s="1318"/>
      <c s="1324"/>
      <c s="1327" t="s">
        <v>415</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0</v>
      </c>
    </row>
    <row r="56" spans="1:45" s="1644" customFormat="1" ht="0" customHeight="1">
      <c r="A56" s="1345" t="s">
        <v>188</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0</v>
      </c>
    </row>
    <row r="57" spans="1:45" s="1644" customFormat="1" ht="4.2" customHeight="1">
      <c r="A57" s="1316"/>
      <c s="1316"/>
      <c s="1316"/>
      <c s="1316"/>
      <c s="1345"/>
      <c s="1316"/>
      <c s="1316"/>
      <c s="1316"/>
      <c s="1316"/>
      <c s="1316"/>
      <c s="1316"/>
      <c s="1341"/>
      <c s="1323"/>
      <c s="1323"/>
      <c r="P57" s="1318"/>
      <c s="1319"/>
      <c s="1318"/>
      <c s="1324"/>
      <c s="1327" t="s">
        <v>448</v>
      </c>
      <c s="1326"/>
      <c s="1326"/>
      <c s="1326"/>
      <c s="1326"/>
      <c s="1326"/>
      <c s="1326"/>
      <c s="1326"/>
      <c s="1326"/>
      <c s="1326"/>
      <c s="1326"/>
      <c s="1326"/>
      <c s="1326"/>
      <c s="1326"/>
      <c s="1326"/>
      <c s="1326"/>
      <c s="1326"/>
      <c s="1326"/>
      <c s="1326"/>
      <c s="1326"/>
      <c r="AO57" s="791"/>
      <c s="791" t="str">
        <f>IF(T57="","",T57)</f>
        <v>Добавить наименование тарифа</v>
      </c>
      <c s="791"/>
      <c s="791"/>
      <c s="520">
        <v>4</v>
      </c>
    </row>
    <row r="58" spans="13:45" ht="11.55" customHeight="1">
      <c r="M58" s="1162"/>
      <c s="1162"/>
      <c s="539"/>
      <c s="1157"/>
      <c s="1157"/>
      <c s="1157"/>
      <c s="1157"/>
      <c r="AN58" s="1157"/>
      <c s="1157"/>
      <c s="1157"/>
      <c s="1157"/>
      <c s="1157"/>
      <c s="1157">
        <v>11</v>
      </c>
    </row>
    <row r="59" spans="15:45" ht="14.7" customHeight="1">
      <c r="O59" s="539"/>
      <c r="S59" s="1255"/>
      <c s="2287"/>
      <c s="2287"/>
      <c s="2287"/>
      <c s="2287"/>
      <c s="2287"/>
      <c s="2287"/>
      <c s="2287"/>
      <c s="2287"/>
      <c s="2287"/>
      <c s="2287"/>
      <c s="2287"/>
      <c s="2287"/>
      <c s="2287"/>
      <c s="2287"/>
      <c s="2287"/>
      <c s="2287"/>
      <c s="2287"/>
      <c s="2287"/>
      <c s="2287"/>
      <c s="2287"/>
      <c r="AS59" s="1157">
        <v>14</v>
      </c>
    </row>
    <row r="60" spans="15:45" ht="14.7" customHeight="1">
      <c r="O60" s="539"/>
      <c r="T60" s="2287"/>
      <c s="2287"/>
      <c s="2287"/>
      <c s="2287"/>
      <c s="2287"/>
      <c s="2287"/>
      <c s="2287"/>
      <c s="2287"/>
      <c s="2287"/>
      <c s="2287"/>
      <c s="2287"/>
      <c s="2287"/>
      <c s="2287"/>
      <c s="2287"/>
      <c s="2287"/>
      <c s="2287"/>
      <c s="2287"/>
      <c s="2287"/>
      <c s="2287"/>
      <c s="2287"/>
      <c r="AS60" s="1157">
        <v>14</v>
      </c>
    </row>
    <row r="61" spans="15:45" ht="14.7" customHeight="1">
      <c r="O61" s="539"/>
      <c r="T61" s="2287"/>
      <c s="2287"/>
      <c s="2287"/>
      <c s="2287"/>
      <c s="2287"/>
      <c s="2287"/>
      <c s="2287"/>
      <c s="2287"/>
      <c s="2287"/>
      <c s="2287"/>
      <c s="2287"/>
      <c s="2287"/>
      <c s="2287"/>
      <c s="2287"/>
      <c s="2287"/>
      <c s="2287"/>
      <c s="2287"/>
      <c s="2287"/>
      <c s="2287"/>
      <c s="2287"/>
      <c r="AS61" s="1157">
        <v>14</v>
      </c>
    </row>
    <row r="62" spans="15:45" ht="14.7" customHeight="1">
      <c r="O62" s="539"/>
      <c r="AS62" s="1157">
        <v>14</v>
      </c>
    </row>
    <row r="63" spans="15:45" ht="14.7" customHeight="1">
      <c r="O63" s="539"/>
      <c r="S63" s="1255"/>
      <c s="2301"/>
      <c s="2287"/>
      <c s="2287"/>
      <c s="2287"/>
      <c s="2287"/>
      <c s="2287"/>
      <c s="2287"/>
      <c s="2287"/>
      <c s="2287"/>
      <c s="2287"/>
      <c s="2287"/>
      <c s="2287"/>
      <c s="2287"/>
      <c s="2287"/>
      <c s="2287"/>
      <c s="2287"/>
      <c s="2287"/>
      <c s="2287"/>
      <c s="2287"/>
      <c s="2287"/>
      <c r="AS63" s="1157">
        <v>14</v>
      </c>
    </row>
    <row r="64" spans="15:45" ht="14.7" customHeight="1">
      <c r="O64" s="539"/>
      <c r="T64" s="2287"/>
      <c s="2287"/>
      <c s="2287"/>
      <c s="2287"/>
      <c s="2287"/>
      <c s="2287"/>
      <c s="2287"/>
      <c s="2287"/>
      <c s="2287"/>
      <c s="2287"/>
      <c s="2287"/>
      <c s="2287"/>
      <c s="2287"/>
      <c s="2287"/>
      <c s="2287"/>
      <c s="2287"/>
      <c s="2287"/>
      <c s="2287"/>
      <c s="2287"/>
      <c s="2287"/>
      <c r="AS64" s="1157">
        <v>14</v>
      </c>
    </row>
    <row r="65" spans="20:45" ht="14.7" customHeight="1">
      <c r="T65" s="2287"/>
      <c s="2287"/>
      <c s="2287"/>
      <c s="2287"/>
      <c s="2287"/>
      <c s="2287"/>
      <c s="2287"/>
      <c s="2287"/>
      <c s="2287"/>
      <c s="2287"/>
      <c s="2287"/>
      <c s="2287"/>
      <c s="2287"/>
      <c s="2287"/>
      <c s="2287"/>
      <c s="2287"/>
      <c s="2287"/>
      <c s="2287"/>
      <c s="2287"/>
      <c s="2287"/>
      <c r="AS65" s="1157">
        <v>14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AC252A3-9201-BFEE-19D1-0.9C9B073E}"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2" width="11.4285714285714" style="1637" hidden="1" customWidth="1"/>
    <col min="13" max="13" width="19.1428571428571" style="2127" hidden="1" customWidth="1"/>
    <col min="14" max="15" width="12.2857142857143" style="2399" hidden="1" customWidth="1"/>
    <col min="16" max="16" width="23.4285714285714" style="2399" hidden="1" customWidth="1"/>
    <col min="17" max="17" width="3.71428571428571" style="2399" hidden="1" customWidth="1"/>
    <col min="18" max="20" width="3" style="346" customWidth="1"/>
    <col min="21" max="21" width="12" style="2409" customWidth="1"/>
    <col min="22" max="22" width="31" style="1637" customWidth="1"/>
    <col min="23" max="23" width="0.142857142857143" style="1637" customWidth="1"/>
    <col min="24" max="28" width="21.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21.7142857142857" style="1637" customWidth="1"/>
    <col min="34" max="37" width="21" style="1637" customWidth="1"/>
    <col min="38" max="38" width="11" style="1637" customWidth="1"/>
    <col min="39" max="39" width="3.71428571428571" style="1637" customWidth="1"/>
    <col min="40" max="40" width="11" style="1637" customWidth="1"/>
    <col min="41" max="41" width="8.57142857142857" style="1637" hidden="1" customWidth="1"/>
    <col min="42" max="42" width="4" style="1637" customWidth="1"/>
    <col min="43" max="43" width="115" style="1637" customWidth="1"/>
    <col min="44" max="48" width="10" style="1644" customWidth="1"/>
    <col min="49" max="49" width="10.5714285714286" style="1637" hidden="1"/>
  </cols>
  <sheetData>
    <row r="1" spans="28:49" ht="22.5" customHeight="1" hidden="1">
      <c r="AB1" s="329"/>
      <c s="329"/>
      <c r="AK1" s="329"/>
      <c s="329"/>
      <c r="AW1" s="1157" t="s">
        <v>14</v>
      </c>
    </row>
    <row r="2" spans="1:49" ht="21" customHeight="1" hidden="1">
      <c r="A2" s="1269"/>
      <c s="1269"/>
      <c s="1269"/>
      <c s="1269"/>
      <c s="2291">
        <v>1</v>
      </c>
      <c s="1269"/>
      <c s="1269"/>
      <c s="1269"/>
      <c s="1269"/>
      <c s="1269"/>
      <c s="1269"/>
      <c s="1269"/>
      <c s="1312"/>
      <c s="690"/>
      <c s="690"/>
      <c s="690"/>
      <c s="363"/>
      <c s="362"/>
      <c s="362"/>
      <c s="357"/>
      <c s="1338">
        <f>INDEX(PT_DIFFERENTIATION_NUM_NTAR,MATCH(A2,PT_DIFFERENTIATION_NTAR_ID,0))</f>
      </c>
      <c s="300" t="s">
        <v>125</v>
      </c>
      <c s="302"/>
      <c s="2244"/>
      <c s="2245"/>
      <c s="2245"/>
      <c s="2245"/>
      <c s="2245"/>
      <c s="2245"/>
      <c s="2245"/>
      <c s="2245"/>
      <c s="2246"/>
      <c s="2244">
        <f>INDEX(PT_DIFFERENTIATION_NTAR,MATCH(A2,PT_DIFFERENTIATION_NTAR_ID,0))</f>
      </c>
      <c s="2245"/>
      <c s="2245"/>
      <c s="2245"/>
      <c s="2245"/>
      <c s="2245"/>
      <c s="2245"/>
      <c s="2245"/>
      <c s="2245"/>
      <c s="2246"/>
      <c s="1260" t="s">
        <v>396</v>
      </c>
      <c r="AS2" s="502"/>
      <c s="502" t="str">
        <f>IF(V2="","",V2)</f>
        <v>Наименование тарифа</v>
      </c>
      <c s="502"/>
      <c s="502"/>
      <c s="1157">
        <v>0</v>
      </c>
    </row>
    <row r="3" spans="1:49" ht="21" customHeight="1" hidden="1">
      <c r="A3" s="1269"/>
      <c s="1269"/>
      <c s="1269"/>
      <c s="1269"/>
      <c s="2292"/>
      <c s="2291">
        <v>1</v>
      </c>
      <c s="1269"/>
      <c s="1269"/>
      <c s="1269"/>
      <c s="1269"/>
      <c s="1269"/>
      <c s="1269"/>
      <c s="1312"/>
      <c s="690"/>
      <c s="690"/>
      <c s="690"/>
      <c s="1334"/>
      <c s="354"/>
      <c s="511"/>
      <c s="355"/>
      <c s="1338">
        <f>INDEX(PT_DIFFERENTIATION_NUM_TER,MATCH(B3,PT_DIFFERENTIATION_TER_ID,0))</f>
      </c>
      <c s="310" t="s">
        <v>397</v>
      </c>
      <c s="302"/>
      <c s="2244"/>
      <c s="2245"/>
      <c s="2245"/>
      <c s="2245"/>
      <c s="2245"/>
      <c s="2245"/>
      <c s="2245"/>
      <c s="2245"/>
      <c s="2246"/>
      <c s="2244">
        <f>INDEX(PT_DIFFERENTIATION_TER,MATCH(B3,PT_DIFFERENTIATION_TER_ID,0))</f>
      </c>
      <c s="2245"/>
      <c s="2245"/>
      <c s="2245"/>
      <c s="2245"/>
      <c s="2245"/>
      <c s="2245"/>
      <c s="2245"/>
      <c s="2245"/>
      <c s="2246"/>
      <c s="1260" t="s">
        <v>398</v>
      </c>
      <c r="AS3" s="502"/>
      <c s="502" t="str">
        <f>IF(V3="","",V3)</f>
        <v>Территория действия тарифа</v>
      </c>
      <c s="502"/>
      <c s="502"/>
      <c s="1157">
        <v>0</v>
      </c>
    </row>
    <row r="4" spans="1:49" ht="22.5" customHeight="1" hidden="1">
      <c r="A4" s="1269"/>
      <c s="1269"/>
      <c s="1269"/>
      <c s="1269"/>
      <c s="2292"/>
      <c s="2292"/>
      <c s="2291">
        <v>1</v>
      </c>
      <c s="1269"/>
      <c s="1269"/>
      <c s="1269"/>
      <c s="1269"/>
      <c s="1269"/>
      <c s="1312"/>
      <c s="690"/>
      <c s="690"/>
      <c s="690"/>
      <c s="356"/>
      <c s="354"/>
      <c s="511"/>
      <c s="355"/>
      <c s="1338">
        <f>INDEX(PT_DIFFERENTIATION_NUM_CS,MATCH(C4,PT_DIFFERENTIATION_CS_ID,0))</f>
      </c>
      <c s="311" t="s">
        <v>399</v>
      </c>
      <c s="302"/>
      <c s="2244"/>
      <c s="2245"/>
      <c s="2245"/>
      <c s="2245"/>
      <c s="2245"/>
      <c s="2245"/>
      <c s="2245"/>
      <c s="2245"/>
      <c s="2246"/>
      <c s="2244">
        <f>INDEX(PT_DIFFERENTIATION_CS,MATCH(C4,PT_DIFFERENTIATION_CS_ID,0))</f>
      </c>
      <c s="2245"/>
      <c s="2245"/>
      <c s="2245"/>
      <c s="2245"/>
      <c s="2245"/>
      <c s="2245"/>
      <c s="2245"/>
      <c s="2245"/>
      <c s="2246"/>
      <c s="1260" t="s">
        <v>400</v>
      </c>
      <c r="AS4" s="502"/>
      <c s="502" t="str">
        <f>IF(V4="","",V4)</f>
        <v>Наименование системы теплоснабжения</v>
      </c>
      <c s="502"/>
      <c s="502"/>
      <c s="1157">
        <v>0</v>
      </c>
    </row>
    <row r="5" spans="1:49" ht="21" customHeight="1" hidden="1">
      <c r="A5" s="1269"/>
      <c s="1269"/>
      <c s="1269"/>
      <c s="1269"/>
      <c s="2292"/>
      <c s="2292"/>
      <c s="2292"/>
      <c s="2291">
        <v>1</v>
      </c>
      <c s="1269"/>
      <c s="1269"/>
      <c s="1269"/>
      <c s="1269"/>
      <c s="1312"/>
      <c s="690"/>
      <c s="690"/>
      <c s="690"/>
      <c s="356"/>
      <c s="354"/>
      <c s="511"/>
      <c s="355"/>
      <c s="1338">
        <f>INDEX(PT_DIFFERENTIATION_NUM_IST_TE,MATCH(D5,PT_DIFFERENTIATION_IST_TE_ID,0))</f>
      </c>
      <c s="312" t="s">
        <v>401</v>
      </c>
      <c s="302"/>
      <c s="2244"/>
      <c s="2245"/>
      <c s="2245"/>
      <c s="2245"/>
      <c s="2245"/>
      <c s="2245"/>
      <c s="2245"/>
      <c s="2245"/>
      <c s="2246"/>
      <c s="2244">
        <f>INDEX(PT_DIFFERENTIATION_IST_TE,MATCH(D5,PT_DIFFERENTIATION_IST_TE_ID,0))</f>
      </c>
      <c s="2245"/>
      <c s="2245"/>
      <c s="2245"/>
      <c s="2245"/>
      <c s="2245"/>
      <c s="2245"/>
      <c s="2245"/>
      <c s="2245"/>
      <c s="2246"/>
      <c s="1260" t="s">
        <v>402</v>
      </c>
      <c r="AS5" s="502"/>
      <c s="502" t="str">
        <f>IF(V5="","",V5)</f>
        <v>Источник тепловой энергии</v>
      </c>
      <c s="502"/>
      <c s="502"/>
      <c s="1157">
        <v>0</v>
      </c>
    </row>
    <row r="6" spans="1:49" ht="14.25" customHeight="1" hidden="1">
      <c r="A6" s="1269"/>
      <c s="1269"/>
      <c s="1269"/>
      <c s="1269"/>
      <c s="2292"/>
      <c s="2292"/>
      <c s="2292"/>
      <c s="2292"/>
      <c s="2129">
        <f>U5&amp;".1"</f>
      </c>
      <c s="1269"/>
      <c s="1269"/>
      <c s="1269"/>
      <c s="1312" t="s">
        <v>403</v>
      </c>
      <c s="511"/>
      <c r="Q6" s="2259">
        <v>1</v>
      </c>
      <c s="1333"/>
      <c s="1333"/>
      <c s="358"/>
      <c s="1044"/>
      <c s="1385"/>
      <c s="1386"/>
      <c s="2298"/>
      <c s="2299"/>
      <c s="2299"/>
      <c s="2299"/>
      <c s="2299"/>
      <c s="2299"/>
      <c s="2299"/>
      <c s="2299"/>
      <c s="2300"/>
      <c s="2298"/>
      <c s="2299"/>
      <c s="2299"/>
      <c s="2299"/>
      <c s="2299"/>
      <c s="2299"/>
      <c s="2299"/>
      <c s="2299"/>
      <c s="2299"/>
      <c s="2300"/>
      <c s="1387"/>
      <c r="AS6" s="502"/>
      <c s="502" t="str">
        <f>IF(V6="","",V6)</f>
        <v/>
      </c>
      <c s="502"/>
      <c s="502"/>
      <c s="1157">
        <v>0</v>
      </c>
    </row>
    <row r="7" spans="1:49" ht="21" customHeight="1" hidden="1">
      <c r="A7" s="1269"/>
      <c s="1269"/>
      <c s="1269"/>
      <c s="1269"/>
      <c s="2292"/>
      <c s="2292"/>
      <c s="2292"/>
      <c s="2292"/>
      <c s="2103"/>
      <c s="2129">
        <f>I6&amp;".1"</f>
      </c>
      <c s="1269"/>
      <c s="1269"/>
      <c s="1312" t="s">
        <v>406</v>
      </c>
      <c s="511"/>
      <c s="329"/>
      <c r="Q7" s="2259"/>
      <c s="2259">
        <v>1</v>
      </c>
      <c s="520"/>
      <c s="359"/>
      <c s="1338">
        <f>$J7</f>
      </c>
      <c s="288" t="s">
        <v>407</v>
      </c>
      <c s="302"/>
      <c s="2247"/>
      <c s="2248"/>
      <c s="2248"/>
      <c s="2248"/>
      <c s="2248"/>
      <c s="2237"/>
      <c s="2237"/>
      <c s="2237"/>
      <c s="2310"/>
      <c s="2247"/>
      <c s="2248"/>
      <c s="2248"/>
      <c s="2248"/>
      <c s="2248"/>
      <c s="2248"/>
      <c s="2248"/>
      <c s="2248"/>
      <c s="2248"/>
      <c s="2249"/>
      <c s="1260" t="s">
        <v>408</v>
      </c>
      <c r="AS7" s="502"/>
      <c s="502" t="str">
        <f>IF(V7="","",V7)</f>
        <v>Группа потребителей</v>
      </c>
      <c s="502"/>
      <c s="502"/>
      <c s="1157">
        <v>0</v>
      </c>
    </row>
    <row r="8" spans="1:49" ht="21" customHeight="1" hidden="1">
      <c r="A8" s="1269"/>
      <c s="1269"/>
      <c s="1269"/>
      <c s="1269"/>
      <c s="2292"/>
      <c s="2292"/>
      <c s="2292"/>
      <c s="2292"/>
      <c s="2103"/>
      <c s="2103"/>
      <c s="2129">
        <f>J7&amp;".1"</f>
      </c>
      <c s="141"/>
      <c s="1312" t="s">
        <v>409</v>
      </c>
      <c s="511"/>
      <c s="329"/>
      <c s="329"/>
      <c s="2259"/>
      <c s="2259"/>
      <c s="2259">
        <v>1</v>
      </c>
      <c s="359"/>
      <c s="1338">
        <f>$K8</f>
      </c>
      <c s="1349"/>
      <c s="302"/>
      <c s="753"/>
      <c s="753"/>
      <c s="753"/>
      <c s="753"/>
      <c s="1407"/>
      <c s="2267"/>
      <c s="2109" t="s">
        <v>65</v>
      </c>
      <c s="2267"/>
      <c s="2109" t="s">
        <v>65</v>
      </c>
      <c s="1409"/>
      <c s="753"/>
      <c s="753"/>
      <c s="753"/>
      <c s="1259"/>
      <c s="2267"/>
      <c s="2109" t="s">
        <v>65</v>
      </c>
      <c s="2267"/>
      <c s="2109" t="s">
        <v>65</v>
      </c>
      <c s="327"/>
      <c s="1309" t="s">
        <v>452</v>
      </c>
      <c s="513">
        <f>STRCHECKDATE(X10:AP10)</f>
      </c>
      <c s="502"/>
      <c s="502" t="str">
        <f>IF(V8="","",V8)</f>
        <v/>
      </c>
      <c s="502"/>
      <c s="502"/>
      <c s="1157">
        <v>0</v>
      </c>
    </row>
    <row r="9" spans="1:49" ht="21" customHeight="1" hidden="1">
      <c r="A9" s="1269"/>
      <c s="1269"/>
      <c s="1269"/>
      <c s="1269"/>
      <c s="2292"/>
      <c s="2292"/>
      <c s="2292"/>
      <c s="2292"/>
      <c s="2103"/>
      <c s="2103"/>
      <c s="2103"/>
      <c s="2129">
        <f>K8&amp;".1"</f>
      </c>
      <c s="1312"/>
      <c s="511"/>
      <c s="329"/>
      <c s="329"/>
      <c s="2259"/>
      <c s="2259"/>
      <c s="2259"/>
      <c s="359"/>
      <c s="1338">
        <f>$L9</f>
      </c>
      <c s="1393"/>
      <c s="302"/>
      <c s="327"/>
      <c s="753"/>
      <c s="753"/>
      <c s="753"/>
      <c s="1407"/>
      <c s="2311"/>
      <c s="2109"/>
      <c s="2311"/>
      <c s="2109"/>
      <c s="1409"/>
      <c s="753"/>
      <c s="753"/>
      <c s="753"/>
      <c s="1259"/>
      <c s="2311"/>
      <c s="2109"/>
      <c s="2311"/>
      <c s="2109"/>
      <c s="327"/>
      <c s="2255" t="s">
        <v>453</v>
      </c>
      <c r="AS9" s="502"/>
      <c s="502"/>
      <c s="502"/>
      <c s="502"/>
      <c s="1157">
        <v>0</v>
      </c>
    </row>
    <row r="10" spans="1:49" ht="14.25" customHeight="1" hidden="1">
      <c r="A10" s="1269"/>
      <c s="1269"/>
      <c s="1269"/>
      <c s="1269"/>
      <c s="2292"/>
      <c s="2292"/>
      <c s="2292"/>
      <c s="2292"/>
      <c s="2103"/>
      <c s="2103"/>
      <c s="2103"/>
      <c s="2129"/>
      <c s="1312"/>
      <c s="511"/>
      <c s="329"/>
      <c s="329"/>
      <c s="2259"/>
      <c s="2259"/>
      <c s="2259"/>
      <c s="359"/>
      <c s="1344"/>
      <c s="302"/>
      <c s="302"/>
      <c s="327"/>
      <c s="327"/>
      <c s="327"/>
      <c s="327"/>
      <c s="1408" t="str">
        <f>AC8&amp;"-"&amp;AE8</f>
        <v>-</v>
      </c>
      <c s="2311"/>
      <c s="2109"/>
      <c s="2311"/>
      <c s="2109"/>
      <c s="1384"/>
      <c s="327"/>
      <c s="327"/>
      <c s="327"/>
      <c s="330" t="str">
        <f>AL8&amp;"-"&amp;AN8</f>
        <v>-</v>
      </c>
      <c s="2311"/>
      <c s="2109"/>
      <c s="2311"/>
      <c s="2109"/>
      <c s="327"/>
      <c s="2256"/>
      <c r="AS10" s="502"/>
      <c s="502" t="str">
        <f>IF(V10="","",V10)</f>
        <v/>
      </c>
      <c s="502"/>
      <c s="502"/>
      <c s="1157">
        <v>0</v>
      </c>
    </row>
    <row r="11" spans="1:49" ht="11.25" customHeight="1" hidden="1">
      <c r="A11" s="1269"/>
      <c s="1269"/>
      <c s="1269"/>
      <c s="1269"/>
      <c s="2292"/>
      <c s="2292"/>
      <c s="2292"/>
      <c s="2292"/>
      <c s="2103"/>
      <c s="2103"/>
      <c s="2129"/>
      <c s="1269"/>
      <c s="1312"/>
      <c s="511"/>
      <c s="329"/>
      <c s="329"/>
      <c s="2259"/>
      <c s="2259"/>
      <c s="2259"/>
      <c s="359"/>
      <c s="1280"/>
      <c s="290" t="s">
        <v>454</v>
      </c>
      <c s="1394"/>
      <c s="1395"/>
      <c s="1395"/>
      <c s="1395"/>
      <c s="1395"/>
      <c s="1396"/>
      <c s="2311"/>
      <c s="2109"/>
      <c s="2311"/>
      <c s="2109"/>
      <c s="1395"/>
      <c s="1395"/>
      <c s="1395"/>
      <c s="1395"/>
      <c s="1396"/>
      <c s="2311"/>
      <c s="2109"/>
      <c s="2311"/>
      <c s="2109"/>
      <c s="1397"/>
      <c s="2256"/>
      <c r="AS11" s="502"/>
      <c s="502"/>
      <c s="502"/>
      <c s="502"/>
      <c s="1157">
        <v>0</v>
      </c>
    </row>
    <row r="12" spans="1:49" ht="15" customHeight="1" hidden="1">
      <c r="A12" s="1269"/>
      <c s="1269"/>
      <c s="1269"/>
      <c s="1269"/>
      <c s="2292"/>
      <c s="2292"/>
      <c s="2292"/>
      <c s="2292"/>
      <c s="2103"/>
      <c s="2129"/>
      <c s="1269"/>
      <c s="1269"/>
      <c s="1312"/>
      <c s="511"/>
      <c s="329"/>
      <c r="Q12" s="2259"/>
      <c s="2259"/>
      <c s="1333"/>
      <c s="358"/>
      <c s="1280"/>
      <c s="289" t="s">
        <v>411</v>
      </c>
      <c s="369"/>
      <c s="369"/>
      <c s="369"/>
      <c s="369"/>
      <c s="369"/>
      <c s="369"/>
      <c s="1410"/>
      <c s="1410"/>
      <c s="1410"/>
      <c s="1410"/>
      <c s="369"/>
      <c s="369"/>
      <c s="369"/>
      <c s="369"/>
      <c s="369"/>
      <c s="369"/>
      <c s="369"/>
      <c s="369"/>
      <c s="369"/>
      <c s="326"/>
      <c s="2257"/>
      <c r="AS12" s="502"/>
      <c s="502" t="str">
        <f>IF(V12="","",V12)</f>
        <v>Добавить вид теплоносителя (параметры теплоносителя)</v>
      </c>
      <c s="502"/>
      <c s="502"/>
      <c s="1157">
        <v>0</v>
      </c>
    </row>
    <row r="13" spans="1:49" ht="11.25" customHeight="1" hidden="1">
      <c r="A13" s="1269"/>
      <c s="1269"/>
      <c s="1269"/>
      <c s="1269"/>
      <c s="2292"/>
      <c s="2292"/>
      <c s="2292"/>
      <c s="2292"/>
      <c s="2129"/>
      <c s="1269"/>
      <c s="1269"/>
      <c s="1269"/>
      <c s="1312"/>
      <c s="511"/>
      <c r="Q13" s="2259"/>
      <c s="1333"/>
      <c s="1333"/>
      <c s="358"/>
      <c s="1280"/>
      <c s="367" t="s">
        <v>412</v>
      </c>
      <c s="369"/>
      <c s="369"/>
      <c s="369"/>
      <c s="369"/>
      <c s="369"/>
      <c s="369"/>
      <c s="369"/>
      <c s="369"/>
      <c s="369"/>
      <c s="368"/>
      <c s="369"/>
      <c s="369"/>
      <c s="369"/>
      <c s="369"/>
      <c s="369"/>
      <c s="369"/>
      <c s="369"/>
      <c s="369"/>
      <c s="368"/>
      <c s="369"/>
      <c s="305"/>
      <c r="AS13" s="502"/>
      <c s="502" t="str">
        <f>IF(V13="","",V13)</f>
        <v>Добавить группу потребителей</v>
      </c>
      <c s="502"/>
      <c s="502"/>
      <c s="1157">
        <v>0</v>
      </c>
    </row>
    <row r="14" spans="1:49" ht="14.25" customHeight="1" hidden="1">
      <c r="A14" s="1269"/>
      <c s="1269"/>
      <c s="1269"/>
      <c s="1269"/>
      <c s="2292"/>
      <c s="2292"/>
      <c s="2292"/>
      <c s="2291"/>
      <c s="1269"/>
      <c s="1269"/>
      <c s="1269"/>
      <c s="1269"/>
      <c s="1312"/>
      <c s="690"/>
      <c s="690"/>
      <c s="511"/>
      <c s="362"/>
      <c s="377"/>
      <c s="357"/>
      <c s="362"/>
      <c s="1388"/>
      <c s="1389"/>
      <c s="1390"/>
      <c s="1390"/>
      <c s="1390"/>
      <c s="1390"/>
      <c s="1390"/>
      <c s="1390"/>
      <c s="1390"/>
      <c s="1390"/>
      <c s="1390"/>
      <c s="1390"/>
      <c s="1390"/>
      <c s="1390"/>
      <c s="1390"/>
      <c s="1390"/>
      <c s="1390"/>
      <c s="1390"/>
      <c s="1390"/>
      <c s="1390"/>
      <c s="1390"/>
      <c s="1390"/>
      <c s="1391"/>
      <c r="AS14" s="502"/>
      <c s="502" t="str">
        <f>IF(V14="","",V14)</f>
        <v/>
      </c>
      <c s="502"/>
      <c s="502"/>
      <c s="1157">
        <v>0</v>
      </c>
    </row>
    <row r="15" spans="1:49" s="1644" customFormat="1" ht="14.25" customHeight="1" hidden="1">
      <c r="A15" s="1376"/>
      <c s="1376"/>
      <c s="1376"/>
      <c s="1376"/>
      <c s="2292"/>
      <c s="2292"/>
      <c s="2291"/>
      <c s="1376"/>
      <c s="1376"/>
      <c s="1376"/>
      <c s="1376"/>
      <c s="1376"/>
      <c s="1379"/>
      <c s="1380"/>
      <c s="1380"/>
      <c s="353"/>
      <c s="1318"/>
      <c s="1319"/>
      <c s="1318"/>
      <c s="1318"/>
      <c s="1320"/>
      <c s="1321" t="s">
        <v>414</v>
      </c>
      <c s="1322"/>
      <c s="1322"/>
      <c s="1322"/>
      <c s="1322"/>
      <c s="1322"/>
      <c s="1322"/>
      <c s="1322"/>
      <c s="1322"/>
      <c s="1322"/>
      <c s="1322"/>
      <c s="1322"/>
      <c s="1322"/>
      <c s="1322"/>
      <c s="1322"/>
      <c s="1322"/>
      <c s="1322"/>
      <c s="1322"/>
      <c s="1322"/>
      <c s="1322"/>
      <c s="1322"/>
      <c s="1322"/>
      <c r="AS15" s="791"/>
      <c s="791" t="str">
        <f>IF(V15="","",V15)</f>
        <v>Добавить источник для дифференциации</v>
      </c>
      <c s="791"/>
      <c s="791"/>
      <c s="520">
        <v>0</v>
      </c>
    </row>
    <row r="16" spans="1:49" s="1644" customFormat="1" ht="14.25" customHeight="1" hidden="1">
      <c r="A16" s="1376"/>
      <c s="1376"/>
      <c s="1376"/>
      <c s="1376"/>
      <c s="2292"/>
      <c s="2291"/>
      <c s="1376"/>
      <c s="1376"/>
      <c s="1376"/>
      <c s="1376"/>
      <c s="1376"/>
      <c s="1376"/>
      <c s="1379"/>
      <c s="1381"/>
      <c s="1381"/>
      <c s="353"/>
      <c s="1318"/>
      <c s="1319"/>
      <c s="1318"/>
      <c s="1318"/>
      <c s="1324"/>
      <c s="1325" t="s">
        <v>415</v>
      </c>
      <c s="1326"/>
      <c s="1326"/>
      <c s="1326"/>
      <c s="1326"/>
      <c s="1326"/>
      <c s="1326"/>
      <c s="1326"/>
      <c s="1326"/>
      <c s="1326"/>
      <c s="1326"/>
      <c s="1326"/>
      <c s="1326"/>
      <c s="1326"/>
      <c s="1326"/>
      <c s="1326"/>
      <c s="1326"/>
      <c s="1326"/>
      <c s="1326"/>
      <c s="1326"/>
      <c s="1326"/>
      <c s="1326"/>
      <c r="AS16" s="791"/>
      <c s="791" t="str">
        <f>IF(V16="","",V16)</f>
        <v>Добавить централизованную систему для дифференциации</v>
      </c>
      <c s="791"/>
      <c s="791"/>
      <c s="520">
        <v>0</v>
      </c>
    </row>
    <row r="17" spans="1:49" s="1644" customFormat="1" ht="14.25" customHeight="1" hidden="1">
      <c r="A17" s="1376"/>
      <c s="1376"/>
      <c s="1376"/>
      <c s="1376"/>
      <c s="2291"/>
      <c s="1376"/>
      <c s="1376"/>
      <c s="1376"/>
      <c s="1376"/>
      <c s="1376"/>
      <c s="1376"/>
      <c s="1376"/>
      <c s="1379"/>
      <c s="1381"/>
      <c s="1381"/>
      <c s="353"/>
      <c s="1318"/>
      <c s="1319"/>
      <c s="1318"/>
      <c s="1318"/>
      <c s="1324"/>
      <c s="1327" t="s">
        <v>416</v>
      </c>
      <c s="1326"/>
      <c s="1326"/>
      <c s="1326"/>
      <c s="1326"/>
      <c s="1326"/>
      <c s="1326"/>
      <c s="1326"/>
      <c s="1326"/>
      <c s="1326"/>
      <c s="1326"/>
      <c s="1326"/>
      <c s="1326"/>
      <c s="1326"/>
      <c s="1326"/>
      <c s="1326"/>
      <c s="1326"/>
      <c s="1326"/>
      <c s="1326"/>
      <c s="1326"/>
      <c s="1326"/>
      <c s="1326"/>
      <c r="AS17" s="791"/>
      <c s="791" t="str">
        <f>IF(V17="","",V17)</f>
        <v>Добавить территорию для дифференциации</v>
      </c>
      <c s="791"/>
      <c s="791"/>
      <c s="520">
        <v>0</v>
      </c>
    </row>
    <row r="18" spans="32:49" ht="14.25" customHeight="1" hidden="1">
      <c r="AF18" s="329"/>
      <c r="AO18" s="329"/>
      <c r="AW18" s="1157">
        <v>0</v>
      </c>
    </row>
    <row r="19" spans="33:49" ht="14.25" customHeight="1" hidden="1">
      <c r="AG19" s="1362"/>
      <c s="1362"/>
      <c s="1362"/>
      <c s="1362"/>
      <c s="1363"/>
      <c s="2269"/>
      <c s="2270" t="s">
        <v>65</v>
      </c>
      <c s="2269"/>
      <c s="2270" t="s">
        <v>65</v>
      </c>
      <c r="AW19" s="1157">
        <v>0</v>
      </c>
    </row>
    <row r="20" spans="33:49" ht="14.25" customHeight="1" hidden="1">
      <c r="AG20" s="1362"/>
      <c s="1362"/>
      <c s="1362"/>
      <c s="1362"/>
      <c s="1363"/>
      <c s="2269"/>
      <c s="2270"/>
      <c s="2269"/>
      <c s="2270"/>
      <c r="AW20" s="1157">
        <v>0</v>
      </c>
    </row>
    <row r="21" spans="33:49" ht="14.25" customHeight="1" hidden="1">
      <c r="AG21" s="1362"/>
      <c s="1362"/>
      <c s="1362"/>
      <c s="1362"/>
      <c s="1363"/>
      <c s="2269"/>
      <c s="2270"/>
      <c s="2269"/>
      <c s="2270"/>
      <c r="AW21" s="1157">
        <v>0</v>
      </c>
    </row>
    <row r="22" spans="33:49" ht="14.25" customHeight="1" hidden="1">
      <c r="AG22" s="1362"/>
      <c s="1362"/>
      <c s="1362"/>
      <c s="1362"/>
      <c s="330" t="str">
        <f>AL19&amp;"-"&amp;AN19</f>
        <v>-</v>
      </c>
      <c s="2270"/>
      <c s="2270"/>
      <c s="2270"/>
      <c s="2270"/>
      <c r="AW22" s="1157">
        <v>0</v>
      </c>
    </row>
    <row r="23" spans="41:49" ht="14.25" customHeight="1" hidden="1">
      <c r="AO23" s="329"/>
      <c r="AW23" s="1157">
        <v>0</v>
      </c>
    </row>
    <row r="24" spans="1:49" s="1368" customFormat="1" ht="22.5" customHeight="1" hidden="1">
      <c r="A24" s="1157"/>
      <c s="1157"/>
      <c s="1157"/>
      <c s="1157"/>
      <c s="1157"/>
      <c s="1157"/>
      <c s="1157"/>
      <c s="1157"/>
      <c s="1157"/>
      <c s="1157"/>
      <c s="1157"/>
      <c s="1157"/>
      <c s="1329"/>
      <c s="1330"/>
      <c s="1330"/>
      <c s="1347" t="s">
        <v>417</v>
      </c>
      <c s="1364"/>
      <c s="1373"/>
      <c s="1373"/>
      <c s="1373"/>
      <c s="731"/>
      <c r="AC24" s="1369"/>
      <c r="AE24" s="1369"/>
      <c s="1368"/>
      <c r="AL24" s="1369"/>
      <c r="AN24" s="1369"/>
      <c s="1368"/>
      <c r="AR24" s="513"/>
      <c s="513"/>
      <c s="513"/>
      <c s="513"/>
      <c s="513"/>
      <c s="1162">
        <v>0</v>
      </c>
    </row>
    <row r="25" spans="1:49" s="1368" customFormat="1" ht="14.25" customHeight="1" hidden="1">
      <c r="A25" s="1157"/>
      <c s="1157"/>
      <c s="1157"/>
      <c s="1157"/>
      <c s="1157"/>
      <c s="1157"/>
      <c s="1157"/>
      <c s="1157"/>
      <c s="1157"/>
      <c s="1157"/>
      <c s="1157"/>
      <c s="1157"/>
      <c s="1329"/>
      <c s="1330"/>
      <c s="1330"/>
      <c s="1330"/>
      <c s="1364"/>
      <c s="1373"/>
      <c s="1373"/>
      <c s="1373"/>
      <c s="731"/>
      <c r="AF25" s="1368"/>
      <c r="AO25" s="1368"/>
      <c r="AR25" s="513"/>
      <c s="513"/>
      <c s="513"/>
      <c s="513"/>
      <c s="513"/>
      <c s="1162">
        <v>0</v>
      </c>
    </row>
    <row r="26" spans="1:49" s="1368" customFormat="1" ht="14.25" customHeight="1" hidden="1">
      <c r="A26" s="1157"/>
      <c s="1157"/>
      <c s="1157"/>
      <c s="1157"/>
      <c s="1157"/>
      <c s="1157"/>
      <c s="1157"/>
      <c s="1157"/>
      <c s="1157"/>
      <c s="1157"/>
      <c s="1157"/>
      <c s="1157"/>
      <c s="1329"/>
      <c s="1330"/>
      <c s="1330"/>
      <c s="1312" t="s">
        <v>418</v>
      </c>
      <c s="1364"/>
      <c s="1373"/>
      <c s="1373"/>
      <c s="1373"/>
      <c s="731"/>
      <c s="1162" t="s">
        <v>419</v>
      </c>
      <c r="AD26" s="188" t="s">
        <v>420</v>
      </c>
      <c r="AF26" s="188" t="s">
        <v>421</v>
      </c>
      <c s="1162" t="s">
        <v>419</v>
      </c>
      <c r="AM26" s="188" t="s">
        <v>422</v>
      </c>
      <c r="AO26" s="188" t="s">
        <v>421</v>
      </c>
      <c r="AR26" s="513"/>
      <c s="513"/>
      <c s="513"/>
      <c s="513"/>
      <c s="513"/>
      <c s="1162">
        <v>0</v>
      </c>
    </row>
    <row r="27" spans="16:49" ht="14.25" customHeight="1" hidden="1">
      <c r="P27" s="1312"/>
      <c r="AW27" s="1157">
        <v>0</v>
      </c>
    </row>
    <row r="28" spans="16:49" ht="14.25" customHeight="1" hidden="1">
      <c r="P28" s="1312"/>
      <c r="AW28" s="1157">
        <v>0</v>
      </c>
    </row>
    <row r="29" spans="18:49" ht="14.7" customHeight="1">
      <c r="R29" s="378"/>
      <c s="378"/>
      <c s="378"/>
      <c s="1277"/>
      <c s="365"/>
      <c s="365"/>
      <c s="511"/>
      <c s="511"/>
      <c s="511"/>
      <c s="511"/>
      <c s="511"/>
      <c s="511"/>
      <c s="511"/>
      <c s="511"/>
      <c s="511"/>
      <c s="511"/>
      <c s="511"/>
      <c s="511"/>
      <c s="511"/>
      <c s="511"/>
      <c s="511"/>
      <c s="511"/>
      <c s="511"/>
      <c s="511"/>
      <c r="AW29" s="1157">
        <v>14</v>
      </c>
    </row>
    <row r="30" spans="18:49" ht="56.7" customHeight="1">
      <c r="R30" s="378"/>
      <c s="378"/>
      <c s="378"/>
      <c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50"/>
      <c s="2250"/>
      <c s="2250"/>
      <c s="2250"/>
      <c s="2250"/>
      <c s="2250"/>
      <c s="2250"/>
      <c s="2250"/>
      <c s="2250"/>
      <c s="2250"/>
      <c s="2250"/>
      <c s="2250"/>
      <c s="2250"/>
      <c s="2250"/>
      <c s="2250"/>
      <c s="2250"/>
      <c s="2250"/>
      <c s="2250"/>
      <c s="2250"/>
      <c s="1245"/>
      <c r="AW30" s="1157">
        <v>54</v>
      </c>
    </row>
    <row r="31" spans="18:49" ht="14.7" customHeight="1">
      <c r="R31" s="378"/>
      <c s="378"/>
      <c s="378"/>
      <c s="2251" t="str">
        <f>IF(org=0,"Не определено",org)</f>
        <v>ГУП КК "Кубаньводкомплекс"</v>
      </c>
      <c s="2251"/>
      <c s="2251"/>
      <c s="2251"/>
      <c s="2251"/>
      <c s="2251"/>
      <c s="2251"/>
      <c s="2251"/>
      <c s="2251"/>
      <c s="2251"/>
      <c s="2251"/>
      <c s="2251"/>
      <c s="2251"/>
      <c s="2251"/>
      <c s="2251"/>
      <c s="2251"/>
      <c s="2251"/>
      <c s="2251"/>
      <c s="2251"/>
      <c s="2251"/>
      <c s="1245"/>
      <c r="AW31" s="1157">
        <v>14</v>
      </c>
    </row>
    <row r="32" spans="18:49" ht="14.25" customHeight="1" hidden="1">
      <c r="R32" s="378"/>
      <c s="378"/>
      <c s="378"/>
      <c s="1277"/>
      <c s="365"/>
      <c s="365"/>
      <c s="324"/>
      <c s="324"/>
      <c s="324"/>
      <c s="324"/>
      <c s="324"/>
      <c s="324"/>
      <c s="324"/>
      <c s="324"/>
      <c s="324"/>
      <c s="324"/>
      <c s="324"/>
      <c s="324"/>
      <c s="324"/>
      <c s="324"/>
      <c s="324"/>
      <c s="324"/>
      <c s="324"/>
      <c s="324"/>
      <c s="511"/>
      <c r="AW32" s="1157">
        <v>0</v>
      </c>
    </row>
    <row r="33" spans="1:49" s="1855" customFormat="1" ht="25.5" customHeight="1" hidden="1">
      <c r="A33" s="1250"/>
      <c s="1250"/>
      <c s="1250"/>
      <c s="1250"/>
      <c s="1250"/>
      <c s="1250"/>
      <c s="1250"/>
      <c s="1250"/>
      <c s="1250"/>
      <c s="1250"/>
      <c s="1250"/>
      <c s="1250"/>
      <c s="1382"/>
      <c s="1250"/>
      <c s="1250"/>
      <c s="1250"/>
      <c r="U33" s="2252" t="s">
        <v>42</v>
      </c>
      <c s="2252"/>
      <c s="1374"/>
      <c s="2253" t="str">
        <f>IF(TITLE_NAME_OR_PR_CHANGE="",IF(TITLE_NAME_OR_PR="","",TITLE_NAME_OR_PR),TITLE_NAME_OR_PR_CHANGE)</f>
        <v/>
      </c>
      <c s="2253"/>
      <c s="2253"/>
      <c s="2253"/>
      <c s="2253"/>
      <c s="2253"/>
      <c s="2253"/>
      <c s="2253"/>
      <c s="328"/>
      <c s="2253" t="str">
        <f>IF(TITLE_NAME_OR_PR_CHANGE="",IF(TITLE_NAME_OR_PR="","",TITLE_NAME_OR_PR),TITLE_NAME_OR_PR_CHANGE)</f>
        <v/>
      </c>
      <c s="2253"/>
      <c s="2253"/>
      <c s="2253"/>
      <c s="2253"/>
      <c s="2253"/>
      <c s="2253"/>
      <c s="2253"/>
      <c s="328"/>
      <c s="328"/>
      <c s="282"/>
      <c s="370"/>
      <c s="370"/>
      <c s="370"/>
      <c s="370"/>
      <c s="370"/>
      <c s="420">
        <v>0</v>
      </c>
    </row>
    <row r="34" spans="1:49" s="1855" customFormat="1" ht="18.75" customHeight="1" hidden="1">
      <c r="A34" s="1250"/>
      <c s="1250"/>
      <c s="1250"/>
      <c s="1250"/>
      <c s="1250"/>
      <c s="1250"/>
      <c s="1250"/>
      <c s="1250"/>
      <c s="1250"/>
      <c s="1250"/>
      <c s="1250"/>
      <c s="1250"/>
      <c s="1382"/>
      <c s="1250"/>
      <c s="1250"/>
      <c s="1250"/>
      <c r="U34" s="2252" t="s">
        <v>423</v>
      </c>
      <c s="2252"/>
      <c s="1374"/>
      <c s="2266" t="str">
        <f>IF(TITLE_DATE_PR_CHANGE="",IF(TITLE_DATE_PR="","",TITLE_DATE_PR),TITLE_DATE_PR_CHANGE)</f>
        <v/>
      </c>
      <c s="2266"/>
      <c s="2266"/>
      <c s="2266"/>
      <c s="2266"/>
      <c s="2266"/>
      <c s="2266"/>
      <c s="2266"/>
      <c s="328"/>
      <c s="2266" t="str">
        <f>IF(TITLE_DATE_PR_CHANGE="",IF(TITLE_DATE_PR="","",TITLE_DATE_PR),TITLE_DATE_PR_CHANGE)</f>
        <v/>
      </c>
      <c s="2266"/>
      <c s="2266"/>
      <c s="2266"/>
      <c s="2266"/>
      <c s="2266"/>
      <c s="2266"/>
      <c s="2266"/>
      <c s="328"/>
      <c s="328"/>
      <c s="282"/>
      <c s="370"/>
      <c s="370"/>
      <c s="370"/>
      <c s="370"/>
      <c s="370"/>
      <c s="420">
        <v>0</v>
      </c>
    </row>
    <row r="35" spans="1:49" s="1855" customFormat="1" ht="18.75" customHeight="1" hidden="1">
      <c r="A35" s="1250"/>
      <c s="1250"/>
      <c s="1250"/>
      <c s="1250"/>
      <c s="1250"/>
      <c s="1250"/>
      <c s="1250"/>
      <c s="1250"/>
      <c s="1250"/>
      <c s="1250"/>
      <c s="1250"/>
      <c s="1250"/>
      <c s="1382"/>
      <c s="1250"/>
      <c s="1250"/>
      <c s="1250"/>
      <c r="U35" s="2252" t="s">
        <v>424</v>
      </c>
      <c s="2252"/>
      <c s="1374"/>
      <c s="2253" t="str">
        <f>IF(TITLE_NUMBER_PR_CHANGE="",IF(TITLE_NUMBER_PR="","",TITLE_NUMBER_PR),TITLE_NUMBER_PR_CHANGE)</f>
        <v/>
      </c>
      <c s="2253"/>
      <c s="2253"/>
      <c s="2253"/>
      <c s="2253"/>
      <c s="2253"/>
      <c s="2253"/>
      <c s="2253"/>
      <c s="328"/>
      <c s="2253" t="str">
        <f>IF(TITLE_NUMBER_PR_CHANGE="",IF(TITLE_NUMBER_PR="","",TITLE_NUMBER_PR),TITLE_NUMBER_PR_CHANGE)</f>
        <v/>
      </c>
      <c s="2253"/>
      <c s="2253"/>
      <c s="2253"/>
      <c s="2253"/>
      <c s="2253"/>
      <c s="2253"/>
      <c s="2253"/>
      <c s="328"/>
      <c s="328"/>
      <c s="282"/>
      <c s="370"/>
      <c s="370"/>
      <c s="370"/>
      <c s="370"/>
      <c s="370"/>
      <c s="420">
        <v>0</v>
      </c>
    </row>
    <row r="36" spans="1:49" s="1855" customFormat="1" ht="18.75" customHeight="1" hidden="1">
      <c r="A36" s="1250"/>
      <c s="1250"/>
      <c s="1250"/>
      <c s="1250"/>
      <c s="1250"/>
      <c s="1250"/>
      <c s="1250"/>
      <c s="1250"/>
      <c s="1250"/>
      <c s="1250"/>
      <c s="1250"/>
      <c s="1250"/>
      <c s="1382"/>
      <c s="1250"/>
      <c s="1250"/>
      <c s="1250"/>
      <c r="U36" s="2252" t="s">
        <v>43</v>
      </c>
      <c s="2252"/>
      <c s="1374"/>
      <c s="2253" t="str">
        <f>IF(TITLE_IST_PUB_CHANGE="",IF(TITLE_IST_PUB="","",TITLE_IST_PUB),TITLE_IST_PUB_CHANGE)</f>
        <v/>
      </c>
      <c s="2253"/>
      <c s="2253"/>
      <c s="2253"/>
      <c s="2253"/>
      <c s="2253"/>
      <c s="2253"/>
      <c s="2253"/>
      <c s="328"/>
      <c s="2253" t="str">
        <f>IF(TITLE_IST_PUB_CHANGE="",IF(TITLE_IST_PUB="","",TITLE_IST_PUB),TITLE_IST_PUB_CHANGE)</f>
        <v/>
      </c>
      <c s="2253"/>
      <c s="2253"/>
      <c s="2253"/>
      <c s="2253"/>
      <c s="2253"/>
      <c s="2253"/>
      <c s="2253"/>
      <c s="328"/>
      <c s="328"/>
      <c s="282"/>
      <c s="370"/>
      <c s="370"/>
      <c s="370"/>
      <c s="370"/>
      <c s="370"/>
      <c s="420">
        <v>0</v>
      </c>
    </row>
    <row r="37" spans="18:49" ht="14.25" customHeight="1" hidden="1">
      <c r="R37" s="378"/>
      <c s="378"/>
      <c s="378"/>
      <c s="1277"/>
      <c s="365"/>
      <c s="365"/>
      <c s="324"/>
      <c s="324"/>
      <c s="324"/>
      <c s="324"/>
      <c s="324"/>
      <c s="324"/>
      <c s="324"/>
      <c s="324"/>
      <c s="324"/>
      <c s="324"/>
      <c s="324"/>
      <c s="324"/>
      <c s="324"/>
      <c s="324"/>
      <c s="324"/>
      <c s="324"/>
      <c s="324"/>
      <c s="324"/>
      <c s="511"/>
      <c r="AW37" s="1157">
        <v>0</v>
      </c>
    </row>
    <row r="38" spans="1:49" s="1855" customFormat="1" ht="18.75" customHeight="1" hidden="1">
      <c r="A38" s="1250"/>
      <c s="1250"/>
      <c s="1250"/>
      <c s="1250"/>
      <c s="1250"/>
      <c s="1250"/>
      <c s="1250"/>
      <c s="1250"/>
      <c s="1250"/>
      <c s="1250"/>
      <c s="1250"/>
      <c s="1250"/>
      <c s="1382"/>
      <c s="1250"/>
      <c s="1250"/>
      <c s="1250"/>
      <c r="U38" s="2252" t="s">
        <v>425</v>
      </c>
      <c s="2252"/>
      <c s="1374"/>
      <c s="2266" t="str">
        <f>IF(TITLE_DATE_PR_CHANGE="",IF(TITLE_DATE_PR="","",TITLE_DATE_PR),TITLE_DATE_PR_CHANGE)</f>
        <v/>
      </c>
      <c s="2266"/>
      <c s="2266"/>
      <c s="2266"/>
      <c s="2266"/>
      <c s="2266"/>
      <c s="2266"/>
      <c s="2266"/>
      <c s="328"/>
      <c s="2266" t="str">
        <f>IF(TITLE_DATE_PR_CHANGE="",IF(TITLE_DATE_PR="","",TITLE_DATE_PR),TITLE_DATE_PR_CHANGE)</f>
        <v/>
      </c>
      <c s="2266"/>
      <c s="2266"/>
      <c s="2266"/>
      <c s="2266"/>
      <c s="2266"/>
      <c s="2266"/>
      <c s="2266"/>
      <c s="328"/>
      <c s="328"/>
      <c s="282"/>
      <c s="370"/>
      <c s="370"/>
      <c s="370"/>
      <c s="370"/>
      <c s="370"/>
      <c s="420">
        <v>0</v>
      </c>
    </row>
    <row r="39" spans="1:49" s="1855" customFormat="1" ht="18.75" customHeight="1" hidden="1">
      <c r="A39" s="1250"/>
      <c s="1250"/>
      <c s="1250"/>
      <c s="1250"/>
      <c s="1250"/>
      <c s="1250"/>
      <c s="1250"/>
      <c s="1250"/>
      <c s="1250"/>
      <c s="1250"/>
      <c s="1250"/>
      <c s="1250"/>
      <c s="1382"/>
      <c s="1250"/>
      <c s="1250"/>
      <c s="1250"/>
      <c r="U39" s="2252" t="s">
        <v>426</v>
      </c>
      <c s="2252"/>
      <c s="1374"/>
      <c s="2253" t="str">
        <f>IF(TITLE_NUMBER_PR_CHANGE="",IF(TITLE_NUMBER_PR="","",TITLE_NUMBER_PR),TITLE_NUMBER_PR_CHANGE)</f>
        <v/>
      </c>
      <c s="2253"/>
      <c s="2253"/>
      <c s="2253"/>
      <c s="2253"/>
      <c s="2253"/>
      <c s="2253"/>
      <c s="2253"/>
      <c s="328"/>
      <c s="2253" t="str">
        <f>IF(TITLE_NUMBER_PR_CHANGE="",IF(TITLE_NUMBER_PR="","",TITLE_NUMBER_PR),TITLE_NUMBER_PR_CHANGE)</f>
        <v/>
      </c>
      <c s="2253"/>
      <c s="2253"/>
      <c s="2253"/>
      <c s="2253"/>
      <c s="2253"/>
      <c s="2253"/>
      <c s="2253"/>
      <c s="328"/>
      <c s="328"/>
      <c s="282"/>
      <c s="370"/>
      <c s="370"/>
      <c s="370"/>
      <c s="370"/>
      <c s="370"/>
      <c s="420">
        <v>0</v>
      </c>
    </row>
    <row r="40" spans="1:49" s="1855" customFormat="1" ht="0" customHeight="1">
      <c r="A40" s="1250"/>
      <c s="1250"/>
      <c s="1250"/>
      <c s="1250"/>
      <c s="1250"/>
      <c s="1250"/>
      <c s="1250"/>
      <c s="1250"/>
      <c s="1250"/>
      <c s="1250"/>
      <c s="1250"/>
      <c s="1250"/>
      <c s="1382"/>
      <c s="1250"/>
      <c s="1250"/>
      <c s="1250"/>
      <c r="U40" s="325"/>
      <c s="325"/>
      <c s="1342"/>
      <c s="328"/>
      <c s="328"/>
      <c s="328"/>
      <c s="328"/>
      <c s="328"/>
      <c s="328"/>
      <c s="328"/>
      <c s="328"/>
      <c s="280" t="s">
        <v>427</v>
      </c>
      <c s="328"/>
      <c s="328"/>
      <c s="328"/>
      <c s="328"/>
      <c s="328"/>
      <c s="328"/>
      <c s="328"/>
      <c s="328"/>
      <c s="280" t="s">
        <v>427</v>
      </c>
      <c r="AR40" s="370"/>
      <c s="370"/>
      <c s="370"/>
      <c s="370"/>
      <c s="370"/>
      <c s="420">
        <v>0</v>
      </c>
    </row>
    <row r="41" spans="18:49" ht="14.7" customHeight="1">
      <c r="R41" s="378"/>
      <c s="378"/>
      <c s="378"/>
      <c s="1277"/>
      <c s="365"/>
      <c s="1246"/>
      <c s="2254"/>
      <c s="2254"/>
      <c s="2254"/>
      <c s="2254"/>
      <c s="2254"/>
      <c s="2254"/>
      <c s="2254"/>
      <c s="2254"/>
      <c s="2254"/>
      <c s="2254"/>
      <c s="2254"/>
      <c s="2254"/>
      <c s="2254"/>
      <c s="2254"/>
      <c s="2254"/>
      <c s="2254"/>
      <c s="2254"/>
      <c s="2254"/>
      <c r="AW41" s="1157">
        <v>14</v>
      </c>
    </row>
    <row r="42" spans="18:49" ht="14.7" customHeight="1">
      <c r="R42" s="378"/>
      <c s="378"/>
      <c s="378"/>
      <c s="2129" t="s">
        <v>300</v>
      </c>
      <c s="2129"/>
      <c s="2129"/>
      <c s="2129"/>
      <c s="2129"/>
      <c s="2129"/>
      <c s="2129"/>
      <c s="2129"/>
      <c s="2129"/>
      <c s="2129"/>
      <c s="2129"/>
      <c s="2129"/>
      <c s="2129"/>
      <c s="2129"/>
      <c s="2129"/>
      <c s="2129"/>
      <c s="2129"/>
      <c s="2129"/>
      <c s="2129"/>
      <c s="2129"/>
      <c s="2129"/>
      <c s="2129"/>
      <c s="2129" t="s">
        <v>301</v>
      </c>
      <c r="AW42" s="1157">
        <v>14</v>
      </c>
    </row>
    <row r="43" spans="18:49" ht="14.7" customHeight="1">
      <c r="R43" s="378"/>
      <c s="378"/>
      <c s="378"/>
      <c s="2275" t="s">
        <v>87</v>
      </c>
      <c s="2211" t="s">
        <v>428</v>
      </c>
      <c s="303"/>
      <c s="2276" t="s">
        <v>429</v>
      </c>
      <c s="2293"/>
      <c s="2293"/>
      <c s="2293"/>
      <c s="2293"/>
      <c s="2277"/>
      <c s="2277"/>
      <c s="2278"/>
      <c s="2279" t="s">
        <v>430</v>
      </c>
      <c s="2276" t="s">
        <v>429</v>
      </c>
      <c s="2293"/>
      <c s="2293"/>
      <c s="2293"/>
      <c s="2293"/>
      <c s="2277"/>
      <c s="2277"/>
      <c s="2278"/>
      <c s="2279" t="s">
        <v>431</v>
      </c>
      <c s="2282" t="s">
        <v>432</v>
      </c>
      <c s="2129"/>
      <c r="AW43" s="1157">
        <v>14</v>
      </c>
    </row>
    <row r="44" spans="18:49" ht="35.7" customHeight="1">
      <c r="R44" s="378"/>
      <c s="378"/>
      <c s="378"/>
      <c s="2275"/>
      <c s="2211"/>
      <c s="1033"/>
      <c s="2296" t="s">
        <v>455</v>
      </c>
      <c s="2314" t="s">
        <v>456</v>
      </c>
      <c s="2314"/>
      <c s="2314"/>
      <c s="2314"/>
      <c s="2296" t="s">
        <v>436</v>
      </c>
      <c s="2613"/>
      <c s="2316"/>
      <c s="2280"/>
      <c s="2296" t="s">
        <v>455</v>
      </c>
      <c s="2314" t="s">
        <v>456</v>
      </c>
      <c s="2314"/>
      <c s="2314"/>
      <c s="2314"/>
      <c s="2296" t="s">
        <v>436</v>
      </c>
      <c s="2613"/>
      <c s="2316"/>
      <c s="2280"/>
      <c s="2283"/>
      <c s="2129"/>
      <c r="AW44" s="1157">
        <v>34</v>
      </c>
    </row>
    <row r="45" spans="18:49" ht="14.7" customHeight="1">
      <c r="R45" s="378"/>
      <c s="378"/>
      <c s="378"/>
      <c s="2275"/>
      <c s="2211"/>
      <c s="1033"/>
      <c s="2327"/>
      <c s="2319" t="s">
        <v>457</v>
      </c>
      <c s="2272" t="s">
        <v>458</v>
      </c>
      <c s="2322"/>
      <c s="2273"/>
      <c s="2297"/>
      <c s="2614"/>
      <c s="2318"/>
      <c s="2280"/>
      <c s="2327"/>
      <c s="2319" t="s">
        <v>457</v>
      </c>
      <c s="2272" t="s">
        <v>458</v>
      </c>
      <c s="2322"/>
      <c s="2273"/>
      <c s="2297"/>
      <c s="2614"/>
      <c s="2318"/>
      <c s="2280"/>
      <c s="2283"/>
      <c s="2129"/>
      <c r="AW45" s="1157">
        <v>14</v>
      </c>
    </row>
    <row r="46" spans="18:49" ht="27.3" customHeight="1">
      <c r="R46" s="378"/>
      <c s="378"/>
      <c s="378"/>
      <c s="2275"/>
      <c s="2211"/>
      <c s="1033"/>
      <c s="2327"/>
      <c s="2320"/>
      <c s="2319" t="s">
        <v>459</v>
      </c>
      <c s="2272" t="s">
        <v>460</v>
      </c>
      <c s="2273"/>
      <c s="2319" t="s">
        <v>446</v>
      </c>
      <c s="2323" t="s">
        <v>447</v>
      </c>
      <c s="2324"/>
      <c s="2280"/>
      <c s="2327"/>
      <c s="2320"/>
      <c s="2319" t="s">
        <v>459</v>
      </c>
      <c s="2272" t="s">
        <v>460</v>
      </c>
      <c s="2273"/>
      <c s="2319" t="s">
        <v>446</v>
      </c>
      <c s="2323" t="s">
        <v>447</v>
      </c>
      <c s="2324"/>
      <c s="2280"/>
      <c s="2283"/>
      <c s="2129"/>
      <c r="AW46" s="1157">
        <v>26</v>
      </c>
    </row>
    <row r="47" spans="1:49" ht="65.25" customHeight="1">
      <c r="A47" s="1261"/>
      <c s="1261" t="s">
        <v>137</v>
      </c>
      <c s="1261" t="s">
        <v>138</v>
      </c>
      <c s="1261" t="s">
        <v>139</v>
      </c>
      <c s="1312" t="s">
        <v>437</v>
      </c>
      <c s="1312" t="s">
        <v>438</v>
      </c>
      <c s="1312" t="s">
        <v>439</v>
      </c>
      <c s="1312" t="s">
        <v>440</v>
      </c>
      <c s="1312" t="s">
        <v>441</v>
      </c>
      <c s="1312" t="s">
        <v>442</v>
      </c>
      <c s="1312" t="s">
        <v>443</v>
      </c>
      <c s="1312" t="s">
        <v>461</v>
      </c>
      <c s="1312" t="s">
        <v>418</v>
      </c>
      <c r="R47" s="378"/>
      <c s="378"/>
      <c s="378"/>
      <c s="2275"/>
      <c s="2211"/>
      <c s="304"/>
      <c s="2297"/>
      <c s="2321"/>
      <c s="2321"/>
      <c s="1224" t="s">
        <v>462</v>
      </c>
      <c s="1224" t="s">
        <v>463</v>
      </c>
      <c s="2321"/>
      <c s="2325"/>
      <c s="2326"/>
      <c s="2281"/>
      <c s="2297"/>
      <c s="2321"/>
      <c s="2321"/>
      <c s="1224" t="s">
        <v>462</v>
      </c>
      <c s="1224" t="s">
        <v>463</v>
      </c>
      <c s="2321"/>
      <c s="2325"/>
      <c s="2326"/>
      <c s="2281"/>
      <c s="2284"/>
      <c s="2129"/>
      <c r="AW47" s="1157">
        <v>62</v>
      </c>
    </row>
    <row r="48" spans="1:49" s="1643" customFormat="1" ht="11.25" customHeight="1" hidden="1">
      <c r="A48" s="1261"/>
      <c s="1261"/>
      <c s="1261"/>
      <c s="1261"/>
      <c s="1261"/>
      <c s="1261"/>
      <c s="1261"/>
      <c s="1261"/>
      <c s="1261"/>
      <c s="1261"/>
      <c s="1261"/>
      <c s="1261"/>
      <c s="1312"/>
      <c s="1330"/>
      <c s="1330"/>
      <c s="1330"/>
      <c s="1248"/>
      <c s="1249"/>
      <c s="1256">
        <v>1</v>
      </c>
      <c s="1256"/>
      <c s="1279" t="s">
        <v>109</v>
      </c>
      <c s="1257" t="s">
        <v>110</v>
      </c>
      <c s="1247" t="str">
        <f ca="1">OFFSET(W48,0,-1)</f>
        <v>2</v>
      </c>
      <c s="1337">
        <f ca="1">OFFSET(X48,0,-1)+1</f>
        <v>3</v>
      </c>
      <c s="1343"/>
      <c s="1343"/>
      <c s="1343">
        <f ca="1">OFFSET(AA48,0,-1)+1</f>
        <v>1</v>
      </c>
      <c s="1343">
        <f ca="1">OFFSET(AB48,0,-1)+1</f>
        <v>2</v>
      </c>
      <c s="1337">
        <f ca="1">OFFSET(AC48,0,-1)+1</f>
        <v>3</v>
      </c>
      <c s="2274">
        <f ca="1">OFFSET(AD48,0,-1)+1</f>
        <v>4</v>
      </c>
      <c s="2274"/>
      <c s="1337">
        <f ca="1">OFFSET(AF48,0,-2)+1</f>
        <v>5</v>
      </c>
      <c s="1337">
        <f ca="1">OFFSET(AG48,0,-1)+1</f>
        <v>6</v>
      </c>
      <c s="1337"/>
      <c s="1337"/>
      <c s="1337">
        <f ca="1">OFFSET(AJ48,0,-1)+1</f>
        <v>1</v>
      </c>
      <c s="1337">
        <f ca="1">OFFSET(AK48,0,-1)+1</f>
        <v>2</v>
      </c>
      <c s="1337">
        <f ca="1">OFFSET(AL48,0,-1)+1</f>
        <v>3</v>
      </c>
      <c s="2274">
        <f ca="1">OFFSET(AM48,0,-1)+1</f>
        <v>4</v>
      </c>
      <c s="2274"/>
      <c s="1337">
        <f ca="1">OFFSET(AO48,0,-2)+1</f>
        <v>5</v>
      </c>
      <c s="1247">
        <f ca="1">OFFSET(AP48,0,-1)</f>
        <v>5</v>
      </c>
      <c s="1337">
        <f ca="1">OFFSET(AQ48,0,-1)+1</f>
        <v>6</v>
      </c>
      <c s="513"/>
      <c s="513"/>
      <c s="513"/>
      <c s="513"/>
      <c s="513"/>
      <c s="498">
        <v>0</v>
      </c>
    </row>
    <row r="49" spans="1:49" ht="22.05" customHeight="1">
      <c r="A49" s="1269" t="s">
        <v>176</v>
      </c>
      <c s="1269"/>
      <c s="1269"/>
      <c s="1269"/>
      <c s="2291">
        <v>1</v>
      </c>
      <c s="1269"/>
      <c s="1269"/>
      <c s="1269"/>
      <c s="1269"/>
      <c s="1269"/>
      <c s="1269"/>
      <c s="1269"/>
      <c s="1312"/>
      <c s="690"/>
      <c s="690"/>
      <c s="690"/>
      <c s="363"/>
      <c s="362"/>
      <c s="362"/>
      <c s="357"/>
      <c s="1338">
        <f>INDEX(PT_DIFFERENTIATION_NUM_NTAR,MATCH(A49,PT_DIFFERENTIATION_NTAR_ID,0))</f>
        <v>0</v>
      </c>
      <c s="300" t="s">
        <v>125</v>
      </c>
      <c s="302"/>
      <c s="2244"/>
      <c s="2245"/>
      <c s="2245"/>
      <c s="2245"/>
      <c s="2245"/>
      <c s="2245"/>
      <c s="2245"/>
      <c s="2245"/>
      <c s="2246"/>
      <c s="2244" t="str">
        <f>INDEX(PT_DIFFERENTIATION_NTAR,MATCH(A49,PT_DIFFERENTIATION_NTAR_ID,0))</f>
        <v/>
      </c>
      <c s="2245"/>
      <c s="2245"/>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s="502" t="str">
        <f>IF(V49="","",V49)</f>
        <v>Наименование тарифа</v>
      </c>
      <c s="502"/>
      <c s="502"/>
      <c s="1157">
        <v>21</v>
      </c>
    </row>
    <row r="50" spans="1:49" ht="22.05" customHeight="1">
      <c r="A50" s="1269" t="s">
        <v>176</v>
      </c>
      <c s="1269" t="s">
        <v>177</v>
      </c>
      <c s="1269"/>
      <c s="1269"/>
      <c s="2292"/>
      <c s="2291">
        <v>1</v>
      </c>
      <c s="1269"/>
      <c s="1269"/>
      <c s="1269"/>
      <c s="1269"/>
      <c s="1269"/>
      <c s="1269"/>
      <c s="1312"/>
      <c s="690"/>
      <c s="690"/>
      <c s="690"/>
      <c s="1334"/>
      <c s="354"/>
      <c s="511"/>
      <c s="355"/>
      <c s="1338" t="str">
        <f>INDEX(PT_DIFFERENTIATION_NUM_TER,MATCH(B50,PT_DIFFERENTIATION_TER_ID,0))</f>
        <v>.</v>
      </c>
      <c s="310" t="s">
        <v>397</v>
      </c>
      <c s="302"/>
      <c s="2244"/>
      <c s="2245"/>
      <c s="2245"/>
      <c s="2245"/>
      <c s="2245"/>
      <c s="2245"/>
      <c s="2245"/>
      <c s="2245"/>
      <c s="2246"/>
      <c s="2244" t="str">
        <f>INDEX(PT_DIFFERENTIATION_TER,MATCH(B50,PT_DIFFERENTIATION_TER_ID,0))</f>
        <v/>
      </c>
      <c s="2245"/>
      <c s="2245"/>
      <c s="2245"/>
      <c s="2245"/>
      <c s="2245"/>
      <c s="2245"/>
      <c s="2245"/>
      <c s="2245"/>
      <c s="2246"/>
      <c s="1260" t="s">
        <v>398</v>
      </c>
      <c r="AS50" s="502"/>
      <c s="502" t="str">
        <f>IF(V50="","",V50)</f>
        <v>Территория действия тарифа</v>
      </c>
      <c s="502"/>
      <c s="502"/>
      <c s="1157">
        <v>21</v>
      </c>
    </row>
    <row r="51" spans="1:49" ht="24" customHeight="1">
      <c r="A51" s="1269" t="s">
        <v>176</v>
      </c>
      <c s="1269" t="s">
        <v>177</v>
      </c>
      <c s="1269" t="s">
        <v>178</v>
      </c>
      <c s="1269"/>
      <c s="2292"/>
      <c s="2292"/>
      <c s="2291">
        <v>1</v>
      </c>
      <c s="1269"/>
      <c s="1269"/>
      <c s="1269"/>
      <c s="1269"/>
      <c s="1269"/>
      <c s="1312"/>
      <c s="690"/>
      <c s="690"/>
      <c s="690"/>
      <c s="356"/>
      <c s="354"/>
      <c s="511"/>
      <c s="355"/>
      <c s="1338" t="str">
        <f>INDEX(PT_DIFFERENTIATION_NUM_CS,MATCH(C51,PT_DIFFERENTIATION_CS_ID,0))</f>
        <v>..</v>
      </c>
      <c s="311" t="s">
        <v>399</v>
      </c>
      <c s="302"/>
      <c s="2244"/>
      <c s="2245"/>
      <c s="2245"/>
      <c s="2245"/>
      <c s="2245"/>
      <c s="2245"/>
      <c s="2245"/>
      <c s="2245"/>
      <c s="2246"/>
      <c s="2244" t="str">
        <f>INDEX(PT_DIFFERENTIATION_CS,MATCH(C51,PT_DIFFERENTIATION_CS_ID,0))</f>
        <v/>
      </c>
      <c s="2245"/>
      <c s="2245"/>
      <c s="2245"/>
      <c s="2245"/>
      <c s="2245"/>
      <c s="2245"/>
      <c s="2245"/>
      <c s="2245"/>
      <c s="2246"/>
      <c s="1260" t="s">
        <v>400</v>
      </c>
      <c r="AS51" s="502"/>
      <c s="502" t="str">
        <f>IF(V51="","",V51)</f>
        <v>Наименование системы теплоснабжения</v>
      </c>
      <c s="502"/>
      <c s="502"/>
      <c s="1157">
        <v>23</v>
      </c>
    </row>
    <row r="52" spans="1:49" ht="22.05" customHeight="1">
      <c r="A52" s="1269" t="s">
        <v>176</v>
      </c>
      <c s="1269" t="s">
        <v>177</v>
      </c>
      <c s="1269" t="s">
        <v>178</v>
      </c>
      <c s="1269" t="s">
        <v>179</v>
      </c>
      <c s="2292"/>
      <c s="2292"/>
      <c s="2292"/>
      <c s="2312">
        <v>1</v>
      </c>
      <c s="1269"/>
      <c s="1269"/>
      <c s="1269"/>
      <c s="1269"/>
      <c s="1312"/>
      <c s="690"/>
      <c s="690"/>
      <c s="690"/>
      <c s="356"/>
      <c s="354"/>
      <c s="511"/>
      <c s="355"/>
      <c s="1338" t="str">
        <f>INDEX(PT_DIFFERENTIATION_NUM_IST_TE,MATCH(D52,PT_DIFFERENTIATION_IST_TE_ID,0))</f>
        <v>...</v>
      </c>
      <c s="312" t="s">
        <v>401</v>
      </c>
      <c s="302"/>
      <c s="2244"/>
      <c s="2245"/>
      <c s="2245"/>
      <c s="2245"/>
      <c s="2245"/>
      <c s="2245"/>
      <c s="2245"/>
      <c s="2245"/>
      <c s="2246"/>
      <c s="2244" t="str">
        <f>INDEX(PT_DIFFERENTIATION_IST_TE,MATCH(D52,PT_DIFFERENTIATION_IST_TE_ID,0))</f>
        <v/>
      </c>
      <c s="2245"/>
      <c s="2245"/>
      <c s="2245"/>
      <c s="2245"/>
      <c s="2245"/>
      <c s="2245"/>
      <c s="2245"/>
      <c s="2245"/>
      <c s="2246"/>
      <c s="1260" t="s">
        <v>402</v>
      </c>
      <c r="AS52" s="502"/>
      <c s="502" t="str">
        <f>IF(V52="","",V52)</f>
        <v>Источник тепловой энергии</v>
      </c>
      <c s="502"/>
      <c s="502"/>
      <c s="1157">
        <v>21</v>
      </c>
    </row>
    <row r="53" spans="1:49" s="1644" customFormat="1" ht="0" customHeight="1">
      <c r="A53" s="1377" t="s">
        <v>176</v>
      </c>
      <c s="1377" t="s">
        <v>177</v>
      </c>
      <c s="1377" t="s">
        <v>178</v>
      </c>
      <c s="1377" t="s">
        <v>179</v>
      </c>
      <c s="2292"/>
      <c s="2292"/>
      <c s="2292"/>
      <c s="2313"/>
      <c s="2129" t="str">
        <f>U52&amp;".1"</f>
        <v>....1</v>
      </c>
      <c s="1377"/>
      <c s="1377"/>
      <c s="1377"/>
      <c s="1383" t="s">
        <v>403</v>
      </c>
      <c s="1248"/>
      <c s="1248"/>
      <c s="1248"/>
      <c s="2259">
        <v>1</v>
      </c>
      <c s="1333"/>
      <c s="1333"/>
      <c s="358"/>
      <c s="1044"/>
      <c s="1385"/>
      <c s="1386"/>
      <c s="2298"/>
      <c s="2299"/>
      <c s="2299"/>
      <c s="2299"/>
      <c s="2299"/>
      <c s="2299"/>
      <c s="2299"/>
      <c s="2299"/>
      <c s="2300"/>
      <c s="2298"/>
      <c s="2299"/>
      <c s="2299"/>
      <c s="2299"/>
      <c s="2299"/>
      <c s="2299"/>
      <c s="2299"/>
      <c s="2299"/>
      <c s="2299"/>
      <c s="2300"/>
      <c s="1387"/>
      <c r="AS53" s="502"/>
      <c s="502" t="str">
        <f>IF(V53="","",V53)</f>
        <v/>
      </c>
      <c s="502"/>
      <c s="502"/>
      <c s="513">
        <v>0</v>
      </c>
    </row>
    <row r="54" spans="1:49" ht="22.05" customHeight="1">
      <c r="A54" s="1269" t="s">
        <v>176</v>
      </c>
      <c s="1269" t="s">
        <v>177</v>
      </c>
      <c s="1269" t="s">
        <v>178</v>
      </c>
      <c s="1269" t="s">
        <v>179</v>
      </c>
      <c s="2292"/>
      <c s="2292"/>
      <c s="2292"/>
      <c s="2313"/>
      <c s="2103"/>
      <c s="2129" t="str">
        <f>I53&amp;".1"</f>
        <v>....1.1</v>
      </c>
      <c s="1269"/>
      <c s="1269"/>
      <c s="1312" t="s">
        <v>406</v>
      </c>
      <c r="Q54" s="2259"/>
      <c s="2259">
        <v>1</v>
      </c>
      <c s="520"/>
      <c s="359"/>
      <c s="1338" t="str">
        <f>$J54</f>
        <v>....1.1</v>
      </c>
      <c s="288" t="s">
        <v>407</v>
      </c>
      <c s="302"/>
      <c s="2247"/>
      <c s="2248"/>
      <c s="2248"/>
      <c s="2248"/>
      <c s="2248"/>
      <c s="2237"/>
      <c s="2237"/>
      <c s="2237"/>
      <c s="2310"/>
      <c s="2247"/>
      <c s="2248"/>
      <c s="2248"/>
      <c s="2248"/>
      <c s="2248"/>
      <c s="2248"/>
      <c s="2248"/>
      <c s="2248"/>
      <c s="2248"/>
      <c s="2249"/>
      <c s="1260" t="s">
        <v>408</v>
      </c>
      <c r="AS54" s="502"/>
      <c s="502" t="str">
        <f>IF(V54="","",V54)</f>
        <v>Группа потребителей</v>
      </c>
      <c s="502"/>
      <c s="502"/>
      <c s="1157">
        <v>21</v>
      </c>
    </row>
    <row r="55" spans="1:49" ht="22.05" customHeight="1">
      <c r="A55" s="1269" t="s">
        <v>176</v>
      </c>
      <c s="1269" t="s">
        <v>177</v>
      </c>
      <c s="1269" t="s">
        <v>178</v>
      </c>
      <c s="1269" t="s">
        <v>179</v>
      </c>
      <c s="2292"/>
      <c s="2292"/>
      <c s="2292"/>
      <c s="2313"/>
      <c s="2103"/>
      <c s="2103"/>
      <c s="2129" t="str">
        <f>J54&amp;".1"</f>
        <v>....1.1.1</v>
      </c>
      <c s="141"/>
      <c s="1312" t="s">
        <v>409</v>
      </c>
      <c r="Q55" s="2259"/>
      <c s="2259"/>
      <c s="520">
        <v>1</v>
      </c>
      <c s="359"/>
      <c s="1338" t="str">
        <f>$K55</f>
        <v>....1.1.1</v>
      </c>
      <c s="1349"/>
      <c s="302"/>
      <c s="753"/>
      <c s="753"/>
      <c s="753"/>
      <c s="753"/>
      <c s="1407"/>
      <c s="2267"/>
      <c s="2109" t="s">
        <v>65</v>
      </c>
      <c s="2267"/>
      <c s="2109" t="s">
        <v>65</v>
      </c>
      <c s="1409"/>
      <c s="753"/>
      <c s="753"/>
      <c s="753"/>
      <c s="1259"/>
      <c s="2267"/>
      <c s="2109" t="s">
        <v>65</v>
      </c>
      <c s="2267"/>
      <c s="2109" t="s">
        <v>65</v>
      </c>
      <c s="1350"/>
      <c s="1309" t="s">
        <v>452</v>
      </c>
      <c s="513">
        <f>STRCHECKDATE(X57:AP57)</f>
      </c>
      <c s="502"/>
      <c s="502" t="str">
        <f>IF(V55="","",V55)</f>
        <v/>
      </c>
      <c s="502"/>
      <c s="502"/>
      <c s="1157">
        <v>21</v>
      </c>
    </row>
    <row r="56" spans="1:49" ht="11.55" customHeight="1">
      <c r="A56" s="1269" t="s">
        <v>176</v>
      </c>
      <c s="1269" t="s">
        <v>177</v>
      </c>
      <c s="1269" t="s">
        <v>178</v>
      </c>
      <c s="1269" t="s">
        <v>179</v>
      </c>
      <c s="2292"/>
      <c s="2292"/>
      <c s="2292"/>
      <c s="2313"/>
      <c s="2103"/>
      <c s="2103"/>
      <c s="2103"/>
      <c s="2129" t="str">
        <f>K55&amp;".1"</f>
        <v>....1.1.1.1</v>
      </c>
      <c s="1312"/>
      <c r="Q56" s="2259"/>
      <c s="2259"/>
      <c s="520">
        <v>1</v>
      </c>
      <c s="359"/>
      <c s="1338" t="str">
        <f>$L56</f>
        <v>....1.1.1.1</v>
      </c>
      <c s="1393"/>
      <c s="302"/>
      <c s="327"/>
      <c s="753"/>
      <c s="753"/>
      <c s="753"/>
      <c s="1407"/>
      <c s="2311"/>
      <c s="2109"/>
      <c s="2311"/>
      <c s="2109"/>
      <c s="1409"/>
      <c s="753"/>
      <c s="753"/>
      <c s="753"/>
      <c s="1259"/>
      <c s="2311"/>
      <c s="2109"/>
      <c s="2311"/>
      <c s="2109"/>
      <c s="1350"/>
      <c s="2255" t="s">
        <v>453</v>
      </c>
      <c s="513">
        <f>STRCHECKDATE(X58:AP58)</f>
      </c>
      <c s="502"/>
      <c s="502" t="str">
        <f>IF(V56="","",V56)</f>
        <v/>
      </c>
      <c s="502"/>
      <c s="502"/>
      <c s="1157">
        <v>11</v>
      </c>
    </row>
    <row r="57" spans="1:49" ht="0" customHeight="1">
      <c r="A57" s="1269" t="s">
        <v>176</v>
      </c>
      <c s="1269" t="s">
        <v>177</v>
      </c>
      <c s="1269" t="s">
        <v>178</v>
      </c>
      <c s="1269" t="s">
        <v>179</v>
      </c>
      <c s="2292"/>
      <c s="2292"/>
      <c s="2292"/>
      <c s="2313"/>
      <c s="2103"/>
      <c s="2103"/>
      <c s="2103"/>
      <c s="2129"/>
      <c s="1312"/>
      <c r="Q57" s="2259"/>
      <c s="2259"/>
      <c s="520"/>
      <c s="359"/>
      <c s="1344"/>
      <c s="302"/>
      <c s="302"/>
      <c s="327"/>
      <c s="327"/>
      <c s="327"/>
      <c s="327"/>
      <c s="1408" t="str">
        <f>AC55&amp;"-"&amp;AE55</f>
        <v>-</v>
      </c>
      <c s="2311"/>
      <c s="2109"/>
      <c s="2311"/>
      <c s="2109"/>
      <c s="1384"/>
      <c s="327"/>
      <c s="327"/>
      <c s="327"/>
      <c s="330" t="str">
        <f>AL55&amp;"-"&amp;AN55</f>
        <v>-</v>
      </c>
      <c s="2311"/>
      <c s="2109"/>
      <c s="2311"/>
      <c s="2109"/>
      <c s="1351"/>
      <c s="2256"/>
      <c r="AS57" s="502"/>
      <c s="502" t="str">
        <f>IF(V57="","",V57)</f>
        <v/>
      </c>
      <c s="502"/>
      <c s="502"/>
      <c s="1157">
        <v>0</v>
      </c>
    </row>
    <row r="58" spans="1:49" ht="11.55" customHeight="1">
      <c r="A58" s="1269" t="s">
        <v>176</v>
      </c>
      <c s="1269" t="s">
        <v>177</v>
      </c>
      <c s="1269" t="s">
        <v>178</v>
      </c>
      <c s="1269" t="s">
        <v>179</v>
      </c>
      <c s="2292"/>
      <c s="2292"/>
      <c s="2292"/>
      <c s="2313"/>
      <c s="2103"/>
      <c s="2103"/>
      <c s="2129"/>
      <c s="1269"/>
      <c s="1312"/>
      <c r="Q58" s="2259"/>
      <c s="2259"/>
      <c s="1333"/>
      <c s="358"/>
      <c s="1280"/>
      <c s="290" t="s">
        <v>454</v>
      </c>
      <c s="369"/>
      <c s="369"/>
      <c s="369"/>
      <c s="369"/>
      <c s="369"/>
      <c s="369"/>
      <c s="2311"/>
      <c s="2109"/>
      <c s="2311"/>
      <c s="2109"/>
      <c s="369"/>
      <c s="369"/>
      <c s="369"/>
      <c s="369"/>
      <c s="369"/>
      <c s="2311"/>
      <c s="2109"/>
      <c s="2311"/>
      <c s="2109"/>
      <c s="326"/>
      <c s="2256"/>
      <c r="AS58" s="502"/>
      <c s="502" t="str">
        <f>IF(V58="","",V58)</f>
        <v>Добавить наименование поставщика</v>
      </c>
      <c s="502"/>
      <c s="502"/>
      <c s="1157">
        <v>11</v>
      </c>
    </row>
    <row r="59" spans="1:49" ht="11.55" customHeight="1">
      <c r="A59" s="1269" t="s">
        <v>176</v>
      </c>
      <c s="1269" t="s">
        <v>177</v>
      </c>
      <c s="1269" t="s">
        <v>178</v>
      </c>
      <c s="1269" t="s">
        <v>179</v>
      </c>
      <c s="2292"/>
      <c s="2292"/>
      <c s="2292"/>
      <c s="2313"/>
      <c s="2103"/>
      <c s="2129"/>
      <c s="1269"/>
      <c s="1269"/>
      <c s="1312"/>
      <c r="Q59" s="2259"/>
      <c s="2259"/>
      <c s="1333"/>
      <c s="358"/>
      <c s="1280"/>
      <c s="289" t="s">
        <v>411</v>
      </c>
      <c s="369"/>
      <c s="369"/>
      <c s="369"/>
      <c s="369"/>
      <c s="369"/>
      <c s="369"/>
      <c s="1410"/>
      <c s="1410"/>
      <c s="1410"/>
      <c s="1410"/>
      <c s="369"/>
      <c s="369"/>
      <c s="369"/>
      <c s="369"/>
      <c s="369"/>
      <c s="369"/>
      <c s="369"/>
      <c s="369"/>
      <c s="369"/>
      <c s="326"/>
      <c s="2257"/>
      <c r="AS59" s="502"/>
      <c s="502" t="str">
        <f>IF(V59="","",V59)</f>
        <v>Добавить вид теплоносителя (параметры теплоносителя)</v>
      </c>
      <c s="502"/>
      <c s="502"/>
      <c s="1157">
        <v>11</v>
      </c>
    </row>
    <row r="60" spans="1:49" ht="11.55" customHeight="1">
      <c r="A60" s="1269" t="s">
        <v>176</v>
      </c>
      <c s="1269" t="s">
        <v>177</v>
      </c>
      <c s="1269" t="s">
        <v>178</v>
      </c>
      <c s="1269" t="s">
        <v>179</v>
      </c>
      <c s="2292"/>
      <c s="2292"/>
      <c s="2292"/>
      <c s="2313"/>
      <c s="2129"/>
      <c s="1269"/>
      <c s="1269"/>
      <c s="1269"/>
      <c s="1312"/>
      <c r="Q60" s="2259"/>
      <c s="1333"/>
      <c s="1333"/>
      <c s="358"/>
      <c s="1280"/>
      <c s="367" t="s">
        <v>412</v>
      </c>
      <c s="369"/>
      <c s="369"/>
      <c s="369"/>
      <c s="369"/>
      <c s="369"/>
      <c s="369"/>
      <c s="369"/>
      <c s="369"/>
      <c s="369"/>
      <c s="368"/>
      <c s="369"/>
      <c s="369"/>
      <c s="369"/>
      <c s="369"/>
      <c s="369"/>
      <c s="369"/>
      <c s="369"/>
      <c s="369"/>
      <c s="368"/>
      <c s="369"/>
      <c s="305"/>
      <c r="AS60" s="502"/>
      <c s="502" t="str">
        <f>IF(V60="","",V60)</f>
        <v>Добавить группу потребителей</v>
      </c>
      <c s="502"/>
      <c s="502"/>
      <c s="1157">
        <v>11</v>
      </c>
    </row>
    <row r="61" spans="1:49" ht="0" customHeight="1">
      <c r="A61" s="1269" t="s">
        <v>176</v>
      </c>
      <c s="1269" t="s">
        <v>177</v>
      </c>
      <c s="1269" t="s">
        <v>178</v>
      </c>
      <c s="1269" t="s">
        <v>179</v>
      </c>
      <c s="2292"/>
      <c s="2292"/>
      <c s="2292"/>
      <c s="2312"/>
      <c s="1269"/>
      <c s="1269"/>
      <c s="1269"/>
      <c s="1269"/>
      <c s="1312"/>
      <c s="690"/>
      <c s="690"/>
      <c s="511"/>
      <c s="362"/>
      <c s="377"/>
      <c s="357"/>
      <c s="362"/>
      <c s="1388"/>
      <c s="1389"/>
      <c s="1390"/>
      <c s="1390"/>
      <c s="1390"/>
      <c s="1390"/>
      <c s="1390"/>
      <c s="1390"/>
      <c s="1390"/>
      <c s="1390"/>
      <c s="1390"/>
      <c s="1390"/>
      <c s="1390"/>
      <c s="1390"/>
      <c s="1390"/>
      <c s="1390"/>
      <c s="1390"/>
      <c s="1390"/>
      <c s="1390"/>
      <c s="1390"/>
      <c s="1390"/>
      <c s="1390"/>
      <c s="1391"/>
      <c r="AS61" s="502"/>
      <c s="502" t="str">
        <f>IF(V61="","",V61)</f>
        <v/>
      </c>
      <c s="502"/>
      <c s="502"/>
      <c s="1157">
        <v>0</v>
      </c>
    </row>
    <row r="62" spans="1:49" s="1644" customFormat="1" ht="0" customHeight="1">
      <c r="A62" s="1377" t="s">
        <v>176</v>
      </c>
      <c s="1377" t="s">
        <v>177</v>
      </c>
      <c s="1377" t="s">
        <v>178</v>
      </c>
      <c s="1376"/>
      <c s="2292"/>
      <c s="2292"/>
      <c s="2291"/>
      <c s="1376"/>
      <c s="1376"/>
      <c s="1376"/>
      <c s="1376"/>
      <c s="1376"/>
      <c s="1379"/>
      <c s="1380"/>
      <c s="1380"/>
      <c s="353"/>
      <c s="1318"/>
      <c s="1319"/>
      <c s="1318"/>
      <c s="1318"/>
      <c s="1324"/>
      <c s="1327" t="s">
        <v>414</v>
      </c>
      <c s="1326"/>
      <c s="1326"/>
      <c s="1326"/>
      <c s="1326"/>
      <c s="1326"/>
      <c s="1326"/>
      <c s="1326"/>
      <c s="1326"/>
      <c s="1326"/>
      <c s="1326"/>
      <c s="1326"/>
      <c s="1326"/>
      <c s="1326"/>
      <c s="1326"/>
      <c s="1326"/>
      <c s="1326"/>
      <c s="1326"/>
      <c s="1326"/>
      <c s="1326"/>
      <c s="1326"/>
      <c s="1326"/>
      <c r="AS62" s="791"/>
      <c s="791" t="str">
        <f>IF(V62="","",V62)</f>
        <v>Добавить источник для дифференциации</v>
      </c>
      <c s="791"/>
      <c s="791"/>
      <c s="520">
        <v>0</v>
      </c>
    </row>
    <row r="63" spans="1:49" s="1644" customFormat="1" ht="0" customHeight="1">
      <c r="A63" s="1377" t="s">
        <v>176</v>
      </c>
      <c s="1377" t="s">
        <v>177</v>
      </c>
      <c s="1376"/>
      <c s="1376"/>
      <c s="2292"/>
      <c s="2291"/>
      <c s="1376"/>
      <c s="1376"/>
      <c s="1376"/>
      <c s="1376"/>
      <c s="1376"/>
      <c s="1376"/>
      <c s="1379"/>
      <c s="1381"/>
      <c s="1381"/>
      <c s="353"/>
      <c s="1318"/>
      <c s="1319"/>
      <c s="1318"/>
      <c s="1318"/>
      <c s="1324"/>
      <c s="1327" t="s">
        <v>415</v>
      </c>
      <c s="1326"/>
      <c s="1326"/>
      <c s="1326"/>
      <c s="1326"/>
      <c s="1326"/>
      <c s="1326"/>
      <c s="1326"/>
      <c s="1326"/>
      <c s="1326"/>
      <c s="1326"/>
      <c s="1326"/>
      <c s="1326"/>
      <c s="1326"/>
      <c s="1326"/>
      <c s="1326"/>
      <c s="1326"/>
      <c s="1326"/>
      <c s="1326"/>
      <c s="1326"/>
      <c s="1326"/>
      <c s="1326"/>
      <c r="AS63" s="791"/>
      <c s="791" t="str">
        <f>IF(V63="","",V63)</f>
        <v>Добавить централизованную систему для дифференциации</v>
      </c>
      <c s="791"/>
      <c s="791"/>
      <c s="520">
        <v>0</v>
      </c>
    </row>
    <row r="64" spans="1:49" s="1644" customFormat="1" ht="0" customHeight="1">
      <c r="A64" s="1377" t="s">
        <v>176</v>
      </c>
      <c s="1377"/>
      <c s="1377"/>
      <c s="1377"/>
      <c s="2291"/>
      <c s="1377"/>
      <c s="1377"/>
      <c s="1377"/>
      <c s="1377"/>
      <c s="1377"/>
      <c s="1377"/>
      <c s="1377"/>
      <c s="1383"/>
      <c s="1381"/>
      <c s="1381"/>
      <c s="353"/>
      <c s="382"/>
      <c s="1346"/>
      <c s="382"/>
      <c s="382"/>
      <c s="1324"/>
      <c s="1327" t="s">
        <v>416</v>
      </c>
      <c s="1326"/>
      <c s="1326"/>
      <c s="1326"/>
      <c s="1326"/>
      <c s="1326"/>
      <c s="1326"/>
      <c s="1326"/>
      <c s="1326"/>
      <c s="1326"/>
      <c s="1326"/>
      <c s="1326"/>
      <c s="1326"/>
      <c s="1326"/>
      <c s="1326"/>
      <c s="1326"/>
      <c s="1326"/>
      <c s="1326"/>
      <c s="1326"/>
      <c s="1326"/>
      <c s="1326"/>
      <c s="1326"/>
      <c r="AS64" s="502"/>
      <c s="502" t="str">
        <f>IF(V64="","",V64)</f>
        <v>Добавить территорию для дифференциации</v>
      </c>
      <c s="502"/>
      <c s="502"/>
      <c s="513">
        <v>0</v>
      </c>
    </row>
    <row r="65" spans="1:49" s="1644" customFormat="1" ht="4.2" customHeight="1">
      <c r="A65" s="1376"/>
      <c s="1376"/>
      <c s="1376"/>
      <c s="1376"/>
      <c s="1377"/>
      <c s="1376"/>
      <c s="1376"/>
      <c s="1376"/>
      <c s="1376"/>
      <c s="1376"/>
      <c s="1376"/>
      <c s="1376"/>
      <c s="1379"/>
      <c s="1381"/>
      <c s="1381"/>
      <c s="353"/>
      <c s="1318"/>
      <c s="1319"/>
      <c s="1318"/>
      <c s="1318"/>
      <c s="1324"/>
      <c s="1327" t="s">
        <v>448</v>
      </c>
      <c s="1326"/>
      <c s="1326"/>
      <c s="1326"/>
      <c s="1326"/>
      <c s="1326"/>
      <c s="1326"/>
      <c s="1326"/>
      <c s="1326"/>
      <c s="1326"/>
      <c s="1326"/>
      <c s="1326"/>
      <c s="1326"/>
      <c s="1326"/>
      <c s="1326"/>
      <c s="1326"/>
      <c s="1326"/>
      <c s="1326"/>
      <c s="1326"/>
      <c s="1326"/>
      <c s="1326"/>
      <c s="1326"/>
      <c r="AS65" s="791"/>
      <c s="791" t="str">
        <f>IF(V65="","",V65)</f>
        <v>Добавить наименование тарифа</v>
      </c>
      <c s="791"/>
      <c s="791"/>
      <c s="520">
        <v>4</v>
      </c>
    </row>
    <row r="66" spans="14:49" ht="11.55" customHeight="1">
      <c r="N66" s="1157"/>
      <c s="1157"/>
      <c s="511"/>
      <c s="1157"/>
      <c s="1157"/>
      <c s="1157"/>
      <c s="1157"/>
      <c s="1157"/>
      <c r="AR66" s="1157"/>
      <c s="1157"/>
      <c s="1157"/>
      <c s="1157"/>
      <c s="1157"/>
      <c s="1157">
        <v>11</v>
      </c>
    </row>
    <row r="67" spans="16:49" ht="35.7" customHeight="1">
      <c r="P67" s="511"/>
      <c r="U67" s="1255"/>
      <c s="2287"/>
      <c s="2287"/>
      <c s="2287"/>
      <c s="2287"/>
      <c s="2287"/>
      <c s="2287"/>
      <c s="2287"/>
      <c s="2287"/>
      <c s="2287"/>
      <c s="2287"/>
      <c s="2287"/>
      <c s="2287"/>
      <c s="2287"/>
      <c s="2287"/>
      <c s="2287"/>
      <c s="2287"/>
      <c s="2287"/>
      <c s="2287"/>
      <c s="2287"/>
      <c s="2287"/>
      <c s="2287"/>
      <c s="2287"/>
      <c r="AW67" s="1157">
        <v>34</v>
      </c>
    </row>
    <row r="68" spans="16:49" ht="21" customHeight="1">
      <c r="P68" s="511"/>
      <c r="V68" s="2287"/>
      <c s="2287"/>
      <c s="2287"/>
      <c s="2287"/>
      <c s="2287"/>
      <c s="2287"/>
      <c s="2287"/>
      <c s="2287"/>
      <c s="2287"/>
      <c s="2287"/>
      <c s="2287"/>
      <c s="2287"/>
      <c s="2287"/>
      <c s="2287"/>
      <c s="2287"/>
      <c s="2287"/>
      <c s="2287"/>
      <c s="2287"/>
      <c s="2287"/>
      <c s="2287"/>
      <c s="2287"/>
      <c s="2287"/>
      <c r="AW68" s="1157">
        <v>20</v>
      </c>
    </row>
    <row r="69" spans="16:49" ht="14.7" customHeight="1">
      <c r="P69" s="511"/>
      <c r="AW69" s="1157">
        <v>14</v>
      </c>
    </row>
    <row r="70" spans="16:49" ht="28.5" customHeight="1">
      <c r="P70" s="511"/>
      <c r="V70" s="2287"/>
      <c s="2287"/>
      <c s="2287"/>
      <c s="2287"/>
      <c s="2287"/>
      <c s="2287"/>
      <c s="2287"/>
      <c s="2287"/>
      <c s="2287"/>
      <c s="2287"/>
      <c s="2287"/>
      <c s="2287"/>
      <c s="2287"/>
      <c s="2287"/>
      <c s="2287"/>
      <c s="2287"/>
      <c s="2287"/>
      <c s="2287"/>
      <c s="2287"/>
      <c s="2287"/>
      <c s="2287"/>
      <c s="2287"/>
      <c r="AW70" s="1157">
        <v>27</v>
      </c>
    </row>
    <row r="71" spans="16:49" ht="18.75" customHeight="1">
      <c r="P71" s="511"/>
      <c r="V71" s="2287"/>
      <c s="2287"/>
      <c s="2287"/>
      <c s="2287"/>
      <c s="2287"/>
      <c s="2287"/>
      <c s="2287"/>
      <c s="2287"/>
      <c s="2287"/>
      <c s="2287"/>
      <c s="2287"/>
      <c s="2287"/>
      <c s="2287"/>
      <c s="2287"/>
      <c s="2287"/>
      <c s="2287"/>
      <c s="2287"/>
      <c s="2287"/>
      <c s="2287"/>
      <c s="2287"/>
      <c s="2287"/>
      <c s="2287"/>
      <c r="AW71" s="1157">
        <v>18</v>
      </c>
    </row>
    <row r="72" spans="1:49" ht="22.5" customHeight="1" hidden="1">
      <c r="A72" s="1157" t="s">
        <v>81</v>
      </c>
      <c s="1157">
        <v>0</v>
      </c>
      <c s="1157">
        <v>0</v>
      </c>
      <c s="1157">
        <v>0</v>
      </c>
      <c s="1157">
        <v>0</v>
      </c>
      <c s="1157">
        <v>0</v>
      </c>
      <c s="1157">
        <v>0</v>
      </c>
      <c s="1157">
        <v>0</v>
      </c>
      <c s="1157">
        <v>0</v>
      </c>
      <c s="1157">
        <v>0</v>
      </c>
      <c s="1157">
        <v>0</v>
      </c>
      <c s="1157">
        <v>0</v>
      </c>
      <c s="1329">
        <v>0</v>
      </c>
      <c s="1330">
        <v>0</v>
      </c>
      <c s="1330">
        <v>0</v>
      </c>
      <c s="1330">
        <v>0</v>
      </c>
      <c s="1330">
        <v>0</v>
      </c>
      <c s="346">
        <v>3</v>
      </c>
      <c s="346">
        <v>3</v>
      </c>
      <c s="346">
        <v>3</v>
      </c>
      <c s="583">
        <v>12</v>
      </c>
      <c s="1157">
        <v>31</v>
      </c>
      <c s="1157">
        <v>0</v>
      </c>
      <c s="1157">
        <v>0</v>
      </c>
      <c s="1157">
        <v>0</v>
      </c>
      <c s="1157">
        <v>0</v>
      </c>
      <c s="1157">
        <v>0</v>
      </c>
      <c s="1157">
        <v>0</v>
      </c>
      <c s="1157">
        <v>0</v>
      </c>
      <c s="1157">
        <v>0</v>
      </c>
      <c s="1157">
        <v>0</v>
      </c>
      <c s="1157">
        <v>0</v>
      </c>
      <c s="1157">
        <v>21</v>
      </c>
      <c s="1157">
        <v>21</v>
      </c>
      <c s="1157">
        <v>21</v>
      </c>
      <c s="1157">
        <v>21</v>
      </c>
      <c s="1157">
        <v>21</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6DD2926-005D-FE98-A7E4-0.EFC0ABCC}"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1778" customWidth="1"/>
    <col min="17" max="17" width="3" style="1373" customWidth="1"/>
    <col min="18" max="18" width="3" style="346" customWidth="1"/>
    <col min="19" max="19" width="12" style="2409" customWidth="1"/>
    <col min="20" max="20" width="31" style="1637" customWidth="1"/>
    <col min="21" max="21" width="0.142857142857143" style="1637" customWidth="1"/>
    <col min="22" max="23" width="21.7142857142857" style="1637" hidden="1" customWidth="1"/>
    <col min="24" max="24" width="11.7142857142857" style="1637" hidden="1" customWidth="1"/>
    <col min="25" max="25" width="3.71428571428571" style="1637" hidden="1" customWidth="1"/>
    <col min="26" max="26" width="11.7142857142857" style="1637" hidden="1" customWidth="1"/>
    <col min="27" max="27" width="8.57142857142857" style="1637" hidden="1" customWidth="1"/>
    <col min="28" max="28" width="5.42857142857143" style="1637" customWidth="1"/>
    <col min="29" max="30" width="3" style="1637" customWidth="1"/>
    <col min="31" max="31" width="24" style="1637" customWidth="1"/>
    <col min="32" max="32" width="3.71428571428571" style="1637" customWidth="1"/>
    <col min="33" max="34" width="3" style="1637" customWidth="1"/>
    <col min="35" max="35" width="24" style="1637" customWidth="1"/>
    <col min="36" max="36" width="3.71428571428571" style="1637" customWidth="1"/>
    <col min="37" max="38" width="3" style="1637" customWidth="1"/>
    <col min="39" max="39" width="18" style="1637" customWidth="1"/>
    <col min="40" max="41" width="21" style="1637" customWidth="1"/>
    <col min="42" max="42" width="11" style="1637" customWidth="1"/>
    <col min="43" max="43" width="3.71428571428571" style="1637" customWidth="1"/>
    <col min="44" max="44" width="11" style="1637" customWidth="1"/>
    <col min="45" max="45" width="8.57142857142857" style="1637" hidden="1" customWidth="1"/>
    <col min="46" max="46" width="4" style="1637" customWidth="1"/>
    <col min="47" max="47" width="115" style="1637" customWidth="1"/>
    <col min="48" max="52" width="10" style="1644" customWidth="1"/>
    <col min="53" max="53" width="10.5714285714286" style="1637" hidden="1"/>
  </cols>
  <sheetData>
    <row r="1" spans="23:53" ht="22.5" customHeight="1" hidden="1">
      <c r="W1" s="329"/>
      <c s="329"/>
      <c r="AO1" s="329"/>
      <c s="329"/>
      <c r="BA1" s="1157" t="s">
        <v>14</v>
      </c>
    </row>
    <row r="2" spans="1:53" ht="21" customHeight="1" hidden="1">
      <c r="A2" s="1365"/>
      <c s="1365"/>
      <c s="1365"/>
      <c s="1365"/>
      <c s="2260">
        <v>1</v>
      </c>
      <c s="1365"/>
      <c s="1365"/>
      <c s="1365"/>
      <c s="1365"/>
      <c s="1365"/>
      <c s="1365"/>
      <c s="1366"/>
      <c s="1367"/>
      <c s="1367"/>
      <c s="1367"/>
      <c s="1411"/>
      <c s="875"/>
      <c s="357"/>
      <c s="1338">
        <f>INDEX(PT_DIFFERENTIATION_NUM_NTAR,MATCH(A2,PT_DIFFERENTIATION_NTAR_ID,0))</f>
      </c>
      <c s="300" t="s">
        <v>125</v>
      </c>
      <c s="302"/>
      <c s="2245"/>
      <c s="2245"/>
      <c s="2245"/>
      <c s="2245"/>
      <c s="2245"/>
      <c s="2246"/>
      <c s="2244">
        <f>INDEX(PT_DIFFERENTIATION_NTAR,MATCH(A2,PT_DIFFERENTIATION_NTAR_ID,0))</f>
      </c>
      <c s="2245"/>
      <c s="2245"/>
      <c s="2245"/>
      <c s="2245"/>
      <c s="2245"/>
      <c s="2245"/>
      <c s="2245"/>
      <c s="2245"/>
      <c s="2245"/>
      <c s="2245"/>
      <c s="2245"/>
      <c s="2245"/>
      <c s="2245"/>
      <c s="2245"/>
      <c s="2245"/>
      <c s="2245"/>
      <c s="2245"/>
      <c s="2246"/>
      <c s="1260" t="s">
        <v>396</v>
      </c>
      <c r="AW2" s="502"/>
      <c s="502" t="str">
        <f>IF(T2="","",T2)</f>
        <v>Наименование тарифа</v>
      </c>
      <c s="502"/>
      <c s="502"/>
      <c s="1157">
        <v>0</v>
      </c>
    </row>
    <row r="3" spans="1:53" ht="21" customHeight="1" hidden="1">
      <c r="A3" s="1365"/>
      <c s="1365"/>
      <c s="1365"/>
      <c s="1365"/>
      <c s="2261"/>
      <c s="2260">
        <v>1</v>
      </c>
      <c s="1365"/>
      <c s="1365"/>
      <c s="1365"/>
      <c s="1365"/>
      <c s="1365"/>
      <c s="1366"/>
      <c s="1367"/>
      <c s="1367"/>
      <c s="1367"/>
      <c s="1412"/>
      <c s="1413"/>
      <c s="355"/>
      <c s="1338">
        <f>INDEX(PT_DIFFERENTIATION_NUM_TER,MATCH(B3,PT_DIFFERENTIATION_TER_ID,0))</f>
      </c>
      <c s="310" t="s">
        <v>397</v>
      </c>
      <c s="302"/>
      <c s="2245"/>
      <c s="2245"/>
      <c s="2245"/>
      <c s="2245"/>
      <c s="2245"/>
      <c s="2246"/>
      <c s="2244">
        <f>INDEX(PT_DIFFERENTIATION_TER,MATCH(B3,PT_DIFFERENTIATION_TER_ID,0))</f>
      </c>
      <c s="2245"/>
      <c s="2245"/>
      <c s="2245"/>
      <c s="2245"/>
      <c s="2245"/>
      <c s="2245"/>
      <c s="2245"/>
      <c s="2245"/>
      <c s="2245"/>
      <c s="2245"/>
      <c s="2245"/>
      <c s="2245"/>
      <c s="2245"/>
      <c s="2245"/>
      <c s="2245"/>
      <c s="2245"/>
      <c s="2245"/>
      <c s="2246"/>
      <c s="1260" t="s">
        <v>398</v>
      </c>
      <c r="AW3" s="502"/>
      <c s="502" t="str">
        <f>IF(T3="","",T3)</f>
        <v>Территория действия тарифа</v>
      </c>
      <c s="502"/>
      <c s="502"/>
      <c s="1157">
        <v>0</v>
      </c>
    </row>
    <row r="4" spans="1:53" ht="22.5" customHeight="1" hidden="1">
      <c r="A4" s="1365"/>
      <c s="1365"/>
      <c s="1365"/>
      <c s="1365"/>
      <c s="2261"/>
      <c s="2261"/>
      <c s="2260">
        <v>1</v>
      </c>
      <c s="1365"/>
      <c s="1365"/>
      <c s="1365"/>
      <c s="1365"/>
      <c s="1366"/>
      <c s="1367"/>
      <c s="1367"/>
      <c s="1367"/>
      <c s="1414"/>
      <c s="1413"/>
      <c s="355"/>
      <c s="1338">
        <f>INDEX(PT_DIFFERENTIATION_NUM_CS,MATCH(C4,PT_DIFFERENTIATION_CS_ID,0))</f>
      </c>
      <c s="311" t="s">
        <v>399</v>
      </c>
      <c s="302"/>
      <c s="2245"/>
      <c s="2245"/>
      <c s="2245"/>
      <c s="2245"/>
      <c s="2245"/>
      <c s="2246"/>
      <c s="2244">
        <f>INDEX(PT_DIFFERENTIATION_CS,MATCH(C4,PT_DIFFERENTIATION_CS_ID,0))</f>
      </c>
      <c s="2245"/>
      <c s="2245"/>
      <c s="2245"/>
      <c s="2245"/>
      <c s="2245"/>
      <c s="2245"/>
      <c s="2245"/>
      <c s="2245"/>
      <c s="2245"/>
      <c s="2245"/>
      <c s="2245"/>
      <c s="2245"/>
      <c s="2245"/>
      <c s="2245"/>
      <c s="2245"/>
      <c s="2245"/>
      <c s="2245"/>
      <c s="2246"/>
      <c s="1260" t="s">
        <v>400</v>
      </c>
      <c r="AW4" s="502"/>
      <c s="502" t="str">
        <f>IF(T4="","",T4)</f>
        <v>Наименование системы теплоснабжения</v>
      </c>
      <c s="502"/>
      <c s="502"/>
      <c s="1157">
        <v>0</v>
      </c>
    </row>
    <row r="5" spans="1:53" ht="21" customHeight="1" hidden="1">
      <c r="A5" s="1365"/>
      <c s="1365"/>
      <c s="1365"/>
      <c s="1365"/>
      <c s="2261"/>
      <c s="2261"/>
      <c s="2261"/>
      <c s="2260">
        <v>1</v>
      </c>
      <c s="1365"/>
      <c s="1365"/>
      <c s="1365"/>
      <c s="1366"/>
      <c s="1367"/>
      <c s="1367"/>
      <c s="1367"/>
      <c s="1414"/>
      <c s="1413"/>
      <c s="355"/>
      <c s="1338">
        <f>INDEX(PT_DIFFERENTIATION_NUM_IST_TE,MATCH(D5,PT_DIFFERENTIATION_IST_TE_ID,0))</f>
      </c>
      <c s="312" t="s">
        <v>401</v>
      </c>
      <c s="302"/>
      <c s="2245"/>
      <c s="2245"/>
      <c s="2245"/>
      <c s="2245"/>
      <c s="2245"/>
      <c s="2246"/>
      <c s="2244">
        <f>INDEX(PT_DIFFERENTIATION_IST_TE,MATCH(D5,PT_DIFFERENTIATION_IST_TE_ID,0))</f>
      </c>
      <c s="2245"/>
      <c s="2245"/>
      <c s="2245"/>
      <c s="2245"/>
      <c s="2245"/>
      <c s="2245"/>
      <c s="2245"/>
      <c s="2245"/>
      <c s="2245"/>
      <c s="2245"/>
      <c s="2245"/>
      <c s="2245"/>
      <c s="2245"/>
      <c s="2245"/>
      <c s="2245"/>
      <c s="2245"/>
      <c s="2245"/>
      <c s="2246"/>
      <c s="1260" t="s">
        <v>402</v>
      </c>
      <c r="AW5" s="502"/>
      <c s="502" t="str">
        <f>IF(T5="","",T5)</f>
        <v>Источник тепловой энергии</v>
      </c>
      <c s="502"/>
      <c s="502"/>
      <c s="1157">
        <v>0</v>
      </c>
    </row>
    <row r="6" spans="1:53" s="1644" customFormat="1" ht="0.75" customHeight="1" hidden="1">
      <c r="A6" s="1345"/>
      <c s="1345"/>
      <c s="1345"/>
      <c s="1345"/>
      <c s="2261"/>
      <c s="2261"/>
      <c s="2261"/>
      <c s="2261"/>
      <c s="2258">
        <f>S5&amp;".1"</f>
      </c>
      <c s="1345"/>
      <c s="1345"/>
      <c s="1348" t="s">
        <v>403</v>
      </c>
      <c s="512"/>
      <c s="512"/>
      <c s="512"/>
      <c s="2259">
        <v>1</v>
      </c>
      <c s="1333"/>
      <c s="358"/>
      <c s="1044"/>
      <c s="1385"/>
      <c s="1386"/>
      <c s="2299"/>
      <c s="2299"/>
      <c s="2299"/>
      <c s="2299"/>
      <c s="2299"/>
      <c s="2300"/>
      <c s="2298"/>
      <c s="2299"/>
      <c s="2299"/>
      <c s="2299"/>
      <c s="2299"/>
      <c s="2299"/>
      <c s="2299"/>
      <c s="2299"/>
      <c s="2299"/>
      <c s="2299"/>
      <c s="2299"/>
      <c s="2299"/>
      <c s="2299"/>
      <c s="2299"/>
      <c s="2299"/>
      <c s="2299"/>
      <c s="2299"/>
      <c s="2299"/>
      <c s="2300"/>
      <c s="1387"/>
      <c r="AW6" s="502"/>
      <c s="502" t="str">
        <f>IF(T6="","",T6)</f>
        <v/>
      </c>
      <c s="502"/>
      <c s="502"/>
      <c s="513">
        <v>0</v>
      </c>
    </row>
    <row r="7" spans="1:53" s="1644" customFormat="1" ht="0.75" customHeight="1" hidden="1">
      <c r="A7" s="1345"/>
      <c s="1345"/>
      <c s="1345"/>
      <c s="1345"/>
      <c s="2261"/>
      <c s="2261"/>
      <c s="2261"/>
      <c s="2261"/>
      <c s="2288"/>
      <c s="2258">
        <f>S5&amp;".1"</f>
      </c>
      <c s="1345"/>
      <c s="1348"/>
      <c s="512"/>
      <c s="512"/>
      <c s="512"/>
      <c s="2259"/>
      <c s="2259">
        <v>1</v>
      </c>
      <c s="359"/>
      <c s="1044"/>
      <c s="1401"/>
      <c s="1386"/>
      <c s="2299"/>
      <c s="2299"/>
      <c s="2299"/>
      <c s="2299"/>
      <c s="2299"/>
      <c s="2300"/>
      <c s="2298"/>
      <c s="2299"/>
      <c s="2299"/>
      <c s="2299"/>
      <c s="2299"/>
      <c s="2299"/>
      <c s="2299"/>
      <c s="2299"/>
      <c s="2299"/>
      <c s="2299"/>
      <c s="2299"/>
      <c s="2299"/>
      <c s="2299"/>
      <c s="2299"/>
      <c s="2299"/>
      <c s="2299"/>
      <c s="2299"/>
      <c s="2299"/>
      <c s="2300"/>
      <c s="1387"/>
      <c r="AW7" s="502"/>
      <c s="502" t="str">
        <f>IF(T7="","",T7)</f>
        <v/>
      </c>
      <c s="502"/>
      <c s="502"/>
      <c s="513">
        <v>0</v>
      </c>
    </row>
    <row r="8" spans="1:53" ht="21" customHeight="1" hidden="1">
      <c r="A8" s="1365"/>
      <c s="1365"/>
      <c s="1365"/>
      <c s="1365"/>
      <c s="2261"/>
      <c s="2261"/>
      <c s="2261"/>
      <c s="2261"/>
      <c s="2288"/>
      <c s="2288"/>
      <c s="2258">
        <f>S5&amp;".1"</f>
      </c>
      <c s="1366"/>
      <c r="P8" s="2259"/>
      <c s="2259"/>
      <c s="2349">
        <v>1</v>
      </c>
      <c s="2343">
        <f>$K8</f>
      </c>
      <c s="2346"/>
      <c s="302"/>
      <c s="753"/>
      <c s="1259"/>
      <c s="2267"/>
      <c s="2109" t="s">
        <v>65</v>
      </c>
      <c s="2267"/>
      <c s="2109" t="s">
        <v>65</v>
      </c>
      <c s="2109" t="s">
        <v>19</v>
      </c>
      <c s="2328"/>
      <c s="2207">
        <v>1</v>
      </c>
      <c s="2329"/>
      <c s="2109" t="s">
        <v>19</v>
      </c>
      <c s="2328"/>
      <c s="2207">
        <v>1</v>
      </c>
      <c s="2329"/>
      <c s="2109" t="s">
        <v>19</v>
      </c>
      <c s="313"/>
      <c s="1339">
        <v>1</v>
      </c>
      <c s="1400"/>
      <c s="753"/>
      <c s="1259"/>
      <c s="1736"/>
      <c s="1461" t="s">
        <v>65</v>
      </c>
      <c s="1736"/>
      <c s="1461" t="s">
        <v>65</v>
      </c>
      <c s="1350"/>
      <c s="2255" t="s">
        <v>464</v>
      </c>
      <c s="513">
        <f>STRCHECKDATE(V11:AT11)</f>
      </c>
      <c s="502"/>
      <c s="502" t="str">
        <f>IF(T8="","",T8)</f>
        <v/>
      </c>
      <c s="502"/>
      <c s="502"/>
      <c s="1157">
        <v>0</v>
      </c>
    </row>
    <row r="9" spans="1:53" ht="11.25" customHeight="1" hidden="1">
      <c r="A9" s="1365"/>
      <c s="1365"/>
      <c s="1365"/>
      <c s="1365"/>
      <c s="2261"/>
      <c s="2261"/>
      <c s="2261"/>
      <c s="2261"/>
      <c s="2288"/>
      <c s="2288"/>
      <c s="2258"/>
      <c s="1366"/>
      <c r="P9" s="2259"/>
      <c s="2259"/>
      <c s="2349"/>
      <c s="2344"/>
      <c s="2347"/>
      <c s="302"/>
      <c s="1395"/>
      <c s="1399"/>
      <c s="2267"/>
      <c s="2109"/>
      <c s="2267"/>
      <c s="2109"/>
      <c s="2109"/>
      <c s="2328"/>
      <c s="2207"/>
      <c s="2329"/>
      <c s="2109"/>
      <c s="2328"/>
      <c s="2207"/>
      <c s="2329"/>
      <c s="2109"/>
      <c s="318"/>
      <c s="418"/>
      <c s="417" t="s">
        <v>465</v>
      </c>
      <c s="1395"/>
      <c s="1498"/>
      <c s="1395"/>
      <c s="1395"/>
      <c s="1395"/>
      <c s="1395"/>
      <c s="1392"/>
      <c s="2256"/>
      <c r="AW9" s="502"/>
      <c s="502"/>
      <c s="502"/>
      <c s="502"/>
      <c s="1157">
        <v>0</v>
      </c>
    </row>
    <row r="10" spans="1:53" ht="11.25" customHeight="1" hidden="1">
      <c r="A10" s="1365"/>
      <c s="1365"/>
      <c s="1365"/>
      <c s="1365"/>
      <c s="2261"/>
      <c s="2261"/>
      <c s="2261"/>
      <c s="2261"/>
      <c s="2288"/>
      <c s="2288"/>
      <c s="2258"/>
      <c s="1366"/>
      <c r="P10" s="2259"/>
      <c s="2259"/>
      <c s="2349"/>
      <c s="2344"/>
      <c s="2347"/>
      <c s="302"/>
      <c s="1395"/>
      <c s="1399"/>
      <c s="2267"/>
      <c s="2109"/>
      <c s="2267"/>
      <c s="2109"/>
      <c s="2109"/>
      <c s="2328"/>
      <c s="2207"/>
      <c s="2329"/>
      <c s="2109"/>
      <c s="296"/>
      <c s="417"/>
      <c s="417" t="s">
        <v>466</v>
      </c>
      <c s="1395"/>
      <c s="1395"/>
      <c s="1395"/>
      <c s="1395"/>
      <c s="1395"/>
      <c s="1498"/>
      <c s="1395"/>
      <c s="1395"/>
      <c s="1395"/>
      <c s="1395"/>
      <c s="1392"/>
      <c s="2256"/>
      <c r="AW10" s="502"/>
      <c s="502"/>
      <c s="502"/>
      <c s="502"/>
      <c s="1157">
        <v>0</v>
      </c>
    </row>
    <row r="11" spans="1:53" ht="11.25" customHeight="1" hidden="1">
      <c r="A11" s="1365"/>
      <c s="1365"/>
      <c s="1365"/>
      <c s="1365"/>
      <c s="2261"/>
      <c s="2261"/>
      <c s="2261"/>
      <c s="2261"/>
      <c s="2288"/>
      <c s="2288"/>
      <c s="2258"/>
      <c s="1366"/>
      <c r="P11" s="2259"/>
      <c s="2259"/>
      <c s="2349"/>
      <c s="2345"/>
      <c s="2348"/>
      <c s="302"/>
      <c s="1395"/>
      <c s="1398" t="str">
        <f>X8&amp;"-"&amp;Z8</f>
        <v>-</v>
      </c>
      <c s="2268"/>
      <c s="2109"/>
      <c s="2268"/>
      <c s="2109"/>
      <c s="2109"/>
      <c s="314"/>
      <c s="316"/>
      <c s="417" t="s">
        <v>467</v>
      </c>
      <c s="1395"/>
      <c s="1395"/>
      <c s="1395"/>
      <c s="1395"/>
      <c s="1395"/>
      <c s="1395"/>
      <c s="1395"/>
      <c s="1395"/>
      <c s="1395"/>
      <c s="1396" t="str">
        <f>AP8&amp;"-"&amp;AR8</f>
        <v>-</v>
      </c>
      <c s="1395"/>
      <c s="1395"/>
      <c s="1395"/>
      <c s="1395"/>
      <c s="1351"/>
      <c s="2256"/>
      <c r="AW11" s="502"/>
      <c s="502" t="str">
        <f>IF(T11="","",T11)</f>
        <v/>
      </c>
      <c s="502"/>
      <c s="502"/>
      <c s="1157">
        <v>0</v>
      </c>
    </row>
    <row r="12" spans="1:53" ht="11.25" customHeight="1" hidden="1">
      <c r="A12" s="1365"/>
      <c s="1365"/>
      <c s="1365"/>
      <c s="1365"/>
      <c s="2261"/>
      <c s="2261"/>
      <c s="2261"/>
      <c s="2261"/>
      <c s="2288"/>
      <c s="2258"/>
      <c s="1365"/>
      <c s="1366"/>
      <c r="P12" s="2259"/>
      <c s="2259"/>
      <c s="358"/>
      <c s="1280"/>
      <c s="289" t="s">
        <v>468</v>
      </c>
      <c s="369"/>
      <c s="369"/>
      <c s="369"/>
      <c s="369"/>
      <c s="369"/>
      <c s="369"/>
      <c s="369"/>
      <c s="369"/>
      <c s="369"/>
      <c s="369"/>
      <c s="369"/>
      <c s="369"/>
      <c s="369"/>
      <c s="369"/>
      <c s="369"/>
      <c s="369"/>
      <c s="369"/>
      <c s="369"/>
      <c s="369"/>
      <c s="369"/>
      <c s="369"/>
      <c s="369"/>
      <c s="369"/>
      <c s="369"/>
      <c s="369"/>
      <c s="326"/>
      <c s="2257"/>
      <c r="AW12" s="502"/>
      <c s="502" t="str">
        <f>IF(T12="","",T12)</f>
        <v>Добавить строку</v>
      </c>
      <c s="502"/>
      <c s="502"/>
      <c s="1157">
        <v>0</v>
      </c>
    </row>
    <row r="13" spans="1:53" s="1644" customFormat="1" ht="0.75" customHeight="1" hidden="1">
      <c r="A13" s="1345"/>
      <c s="1345"/>
      <c s="1345"/>
      <c s="1345"/>
      <c s="2261"/>
      <c s="2261"/>
      <c s="2261"/>
      <c s="2261"/>
      <c s="2258"/>
      <c s="1345"/>
      <c s="1345"/>
      <c s="1348"/>
      <c s="512"/>
      <c s="512"/>
      <c s="512"/>
      <c s="2259"/>
      <c s="1333"/>
      <c s="358"/>
      <c s="1388"/>
      <c s="1389"/>
      <c s="1390"/>
      <c s="1390"/>
      <c s="1390"/>
      <c s="1390"/>
      <c s="1390"/>
      <c s="1390"/>
      <c s="1390"/>
      <c s="1390"/>
      <c s="1390"/>
      <c s="1390"/>
      <c s="1390"/>
      <c s="1390"/>
      <c s="1390"/>
      <c s="1390"/>
      <c s="1390"/>
      <c s="1390"/>
      <c s="1390"/>
      <c s="1390"/>
      <c s="1390"/>
      <c s="1390"/>
      <c s="1390"/>
      <c s="1390"/>
      <c s="1390"/>
      <c s="1390"/>
      <c s="1390"/>
      <c s="1390"/>
      <c s="1391"/>
      <c r="AW13" s="502"/>
      <c s="502" t="str">
        <f>IF(T13="","",T13)</f>
        <v/>
      </c>
      <c s="502"/>
      <c s="502"/>
      <c s="513">
        <v>0</v>
      </c>
    </row>
    <row r="14" spans="1:53" s="1644" customFormat="1" ht="0.75" customHeight="1" hidden="1">
      <c r="A14"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1"/>
      <c r="AW14" s="502"/>
      <c s="502" t="str">
        <f>IF(T14="","",T14)</f>
        <v/>
      </c>
      <c s="502"/>
      <c s="502"/>
      <c s="513">
        <v>0</v>
      </c>
    </row>
    <row r="15" spans="1:53" s="1644" customFormat="1" ht="0.75" customHeight="1" hidden="1">
      <c r="A15" s="1345"/>
      <c s="1345"/>
      <c s="1345"/>
      <c s="1316"/>
      <c s="2261"/>
      <c s="2261"/>
      <c s="2260"/>
      <c s="1316"/>
      <c s="1316"/>
      <c s="1316"/>
      <c s="1316"/>
      <c s="1341"/>
      <c s="1317"/>
      <c s="1317"/>
      <c r="P15" s="1318"/>
      <c s="1319"/>
      <c s="1318"/>
      <c s="1324"/>
      <c s="1327" t="s">
        <v>414</v>
      </c>
      <c s="1326"/>
      <c s="1326"/>
      <c s="1326"/>
      <c s="1326"/>
      <c s="1326"/>
      <c s="1326"/>
      <c s="1326"/>
      <c s="1326"/>
      <c s="1326"/>
      <c s="1326"/>
      <c s="1326"/>
      <c s="1326"/>
      <c s="1326"/>
      <c s="1326"/>
      <c s="1326"/>
      <c s="1326"/>
      <c s="1326"/>
      <c s="1326"/>
      <c s="1326"/>
      <c s="1326"/>
      <c s="1326"/>
      <c s="1326"/>
      <c s="1326"/>
      <c s="1326"/>
      <c s="1326"/>
      <c s="1326"/>
      <c s="1326"/>
      <c r="AW15" s="791"/>
      <c s="791" t="str">
        <f>IF(T15="","",T15)</f>
        <v>Добавить источник для дифференциации</v>
      </c>
      <c s="791"/>
      <c s="791"/>
      <c s="520">
        <v>0</v>
      </c>
    </row>
    <row r="16" spans="1:53" s="1644" customFormat="1" ht="0.75" customHeight="1" hidden="1">
      <c r="A16" s="1345"/>
      <c s="1345"/>
      <c s="1316"/>
      <c s="1316"/>
      <c s="2261"/>
      <c s="2260"/>
      <c s="1316"/>
      <c s="1316"/>
      <c s="1316"/>
      <c s="1316"/>
      <c s="1316"/>
      <c s="1341"/>
      <c s="1323"/>
      <c s="1323"/>
      <c r="P16" s="1318"/>
      <c s="1319"/>
      <c s="1318"/>
      <c s="1324"/>
      <c s="1327" t="s">
        <v>415</v>
      </c>
      <c s="1326"/>
      <c s="1326"/>
      <c s="1326"/>
      <c s="1326"/>
      <c s="1326"/>
      <c s="1326"/>
      <c s="1326"/>
      <c s="1326"/>
      <c s="1326"/>
      <c s="1326"/>
      <c s="1326"/>
      <c s="1326"/>
      <c s="1326"/>
      <c s="1326"/>
      <c s="1326"/>
      <c s="1326"/>
      <c s="1326"/>
      <c s="1326"/>
      <c s="1326"/>
      <c s="1326"/>
      <c s="1326"/>
      <c s="1326"/>
      <c s="1326"/>
      <c s="1326"/>
      <c s="1326"/>
      <c s="1326"/>
      <c s="1326"/>
      <c r="AW16" s="791"/>
      <c s="791" t="str">
        <f>IF(T16="","",T16)</f>
        <v>Добавить централизованную систему для дифференциации</v>
      </c>
      <c s="791"/>
      <c s="791"/>
      <c s="520">
        <v>0</v>
      </c>
    </row>
    <row r="17" spans="1:53" s="1644" customFormat="1" ht="0.75" customHeight="1" hidden="1">
      <c r="A17"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r="AW17" s="502"/>
      <c s="502" t="str">
        <f>IF(T17="","",T17)</f>
        <v>Добавить территорию для дифференциации</v>
      </c>
      <c s="502"/>
      <c s="502"/>
      <c s="513">
        <v>0</v>
      </c>
    </row>
    <row r="18" spans="27:53" ht="14.25" customHeight="1" hidden="1">
      <c r="AA18" s="329"/>
      <c r="AS18" s="329"/>
      <c r="BA18" s="1157">
        <v>0</v>
      </c>
    </row>
    <row r="19" spans="28:53" ht="14.25" customHeight="1" hidden="1">
      <c r="AB19" s="1326" t="s">
        <v>19</v>
      </c>
      <c s="1503"/>
      <c s="550">
        <v>1</v>
      </c>
      <c s="1504"/>
      <c s="1326" t="s">
        <v>19</v>
      </c>
      <c s="1503"/>
      <c s="550">
        <v>1</v>
      </c>
      <c s="1504"/>
      <c s="1326" t="s">
        <v>19</v>
      </c>
      <c s="1505"/>
      <c s="550">
        <v>1</v>
      </c>
      <c s="1508"/>
      <c s="1405"/>
      <c s="1406"/>
      <c s="1738"/>
      <c s="1462" t="s">
        <v>65</v>
      </c>
      <c s="1738"/>
      <c s="1462" t="s">
        <v>65</v>
      </c>
      <c r="BA19" s="1157">
        <v>0</v>
      </c>
    </row>
    <row r="20" spans="48:53" ht="14.25" customHeight="1" hidden="1">
      <c r="AV20" s="498"/>
      <c s="498"/>
      <c s="498"/>
      <c s="498"/>
      <c s="498"/>
      <c s="1157">
        <v>0</v>
      </c>
    </row>
    <row r="21" spans="15:53" ht="14.25" customHeight="1" hidden="1">
      <c r="O21" s="1369" t="s">
        <v>417</v>
      </c>
      <c r="X21" s="1347"/>
      <c r="Z21" s="1347"/>
      <c s="329"/>
      <c r="AP21" s="1347"/>
      <c r="AR21" s="1347"/>
      <c s="329"/>
      <c r="AV21" s="498"/>
      <c s="498"/>
      <c s="498"/>
      <c s="498"/>
      <c s="498"/>
      <c s="1157">
        <v>0</v>
      </c>
    </row>
    <row r="22" spans="27:53" ht="14.25" customHeight="1" hidden="1">
      <c r="AA22" s="329"/>
      <c r="AS22" s="329"/>
      <c r="AV22" s="498"/>
      <c s="498"/>
      <c s="498"/>
      <c s="498"/>
      <c s="498"/>
      <c s="1157">
        <v>0</v>
      </c>
    </row>
    <row r="23" spans="13:53" s="1511" customFormat="1" ht="14.25" customHeight="1" hidden="1">
      <c r="M23" s="1510"/>
      <c s="1510"/>
      <c s="1511" t="s">
        <v>418</v>
      </c>
      <c s="1510"/>
      <c s="1512"/>
      <c s="1512"/>
      <c r="Y23" s="1509" t="s">
        <v>420</v>
      </c>
      <c r="AA23" s="1509" t="s">
        <v>421</v>
      </c>
      <c s="1509" t="s">
        <v>469</v>
      </c>
      <c r="AE23" s="1509" t="s">
        <v>470</v>
      </c>
      <c s="1509" t="s">
        <v>469</v>
      </c>
      <c r="AI23" s="1509" t="s">
        <v>471</v>
      </c>
      <c s="1509" t="s">
        <v>469</v>
      </c>
      <c r="AM23" s="1509" t="s">
        <v>472</v>
      </c>
      <c r="AQ23" s="1509" t="s">
        <v>420</v>
      </c>
      <c r="AS23" s="1509" t="s">
        <v>421</v>
      </c>
      <c r="AV23" s="1513"/>
      <c s="1513"/>
      <c s="1513"/>
      <c s="1513"/>
      <c s="1513"/>
      <c s="1509">
        <v>0</v>
      </c>
    </row>
    <row r="24" spans="15:53" ht="14.25" customHeight="1" hidden="1">
      <c r="O24" s="1366"/>
      <c r="AV24" s="498"/>
      <c s="498"/>
      <c s="498"/>
      <c s="498"/>
      <c s="498"/>
      <c s="1157">
        <v>0</v>
      </c>
    </row>
    <row r="25" spans="15:53" ht="14.25" customHeight="1" hidden="1">
      <c r="O25" s="1366"/>
      <c r="AV25" s="498"/>
      <c s="498"/>
      <c s="498"/>
      <c s="498"/>
      <c s="498"/>
      <c s="1157">
        <v>0</v>
      </c>
    </row>
    <row r="26" spans="17:53" ht="14.7" customHeight="1">
      <c r="Q26" s="293"/>
      <c s="378"/>
      <c s="1277"/>
      <c s="365"/>
      <c s="365"/>
      <c s="511"/>
      <c s="511"/>
      <c s="511"/>
      <c s="511"/>
      <c s="511"/>
      <c s="511"/>
      <c s="511"/>
      <c s="511"/>
      <c s="511"/>
      <c s="511"/>
      <c s="511"/>
      <c s="511"/>
      <c s="511"/>
      <c s="511"/>
      <c s="511"/>
      <c s="511"/>
      <c s="511"/>
      <c s="511"/>
      <c s="511"/>
      <c s="511"/>
      <c s="511"/>
      <c s="511"/>
      <c s="511"/>
      <c s="511"/>
      <c r="BA26" s="1157">
        <v>14</v>
      </c>
    </row>
    <row r="27" spans="17:53" ht="27.3" customHeight="1">
      <c r="Q27" s="293"/>
      <c s="378"/>
      <c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0"/>
      <c s="2250"/>
      <c s="2250"/>
      <c s="2250"/>
      <c s="2250"/>
      <c s="2250"/>
      <c s="2250"/>
      <c s="2250"/>
      <c s="2250"/>
      <c s="2250"/>
      <c s="2250"/>
      <c s="2250"/>
      <c s="2250"/>
      <c s="2250"/>
      <c s="2250"/>
      <c s="2250"/>
      <c s="2250"/>
      <c s="2250"/>
      <c s="2250"/>
      <c s="2250"/>
      <c s="2250"/>
      <c s="2250"/>
      <c s="2250"/>
      <c s="2250"/>
      <c s="2250"/>
      <c s="1245"/>
      <c r="BA27" s="1157">
        <v>26</v>
      </c>
    </row>
    <row r="28" spans="17:53" ht="14.7" customHeight="1">
      <c r="Q28"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1245"/>
      <c r="BA28" s="1157">
        <v>14</v>
      </c>
    </row>
    <row r="29" spans="17:53" ht="14.25" customHeight="1" hidden="1">
      <c r="Q29" s="293"/>
      <c s="378"/>
      <c s="1277"/>
      <c s="365"/>
      <c s="365"/>
      <c s="324"/>
      <c s="324"/>
      <c s="324"/>
      <c s="324"/>
      <c s="324"/>
      <c s="324"/>
      <c s="324"/>
      <c s="324"/>
      <c s="324"/>
      <c s="324"/>
      <c s="324"/>
      <c s="324"/>
      <c s="324"/>
      <c s="324"/>
      <c s="324"/>
      <c s="324"/>
      <c s="324"/>
      <c s="324"/>
      <c s="324"/>
      <c s="324"/>
      <c s="324"/>
      <c s="324"/>
      <c s="324"/>
      <c s="324"/>
      <c s="511"/>
      <c r="BA29" s="1157">
        <v>0</v>
      </c>
    </row>
    <row r="30" spans="1:53" s="1855" customFormat="1" ht="25.5" customHeight="1" hidden="1">
      <c r="A30" s="1370"/>
      <c s="1370"/>
      <c s="1370"/>
      <c s="1370"/>
      <c s="1370"/>
      <c s="1370"/>
      <c s="1370"/>
      <c s="1370"/>
      <c s="1370"/>
      <c s="1370"/>
      <c s="1370"/>
      <c s="1371"/>
      <c s="1370"/>
      <c s="1370"/>
      <c s="1370"/>
      <c s="1370"/>
      <c s="1370"/>
      <c r="S30" s="2252" t="s">
        <v>42</v>
      </c>
      <c s="2252"/>
      <c s="1374"/>
      <c s="2253" t="str">
        <f>IF(TITLE_NAME_OR_PR_CHANGE="",IF(TITLE_NAME_OR_PR="","",TITLE_NAME_OR_PR),TITLE_NAME_OR_PR_CHANGE)</f>
        <v/>
      </c>
      <c s="2253"/>
      <c s="2253"/>
      <c s="2253"/>
      <c s="2253"/>
      <c s="328"/>
      <c s="2253" t="str">
        <f>IF(TITLE_NAME_OR_PR_CHANGE="",IF(TITLE_NAME_OR_PR="","",TITLE_NAME_OR_PR),TITLE_NAME_OR_PR_CHANGE)</f>
        <v/>
      </c>
      <c s="2253"/>
      <c s="2253"/>
      <c s="2253"/>
      <c s="2253"/>
      <c s="2253"/>
      <c s="2253"/>
      <c s="2253"/>
      <c s="2253"/>
      <c s="2253"/>
      <c s="2253"/>
      <c s="2253"/>
      <c s="2253"/>
      <c s="2253"/>
      <c s="2253"/>
      <c s="2253"/>
      <c s="2253"/>
      <c s="328"/>
      <c s="328"/>
      <c s="282"/>
      <c s="370"/>
      <c s="370"/>
      <c s="370"/>
      <c s="370"/>
      <c s="370"/>
      <c s="420">
        <v>0</v>
      </c>
    </row>
    <row r="31" spans="1:53" s="1855" customFormat="1" ht="18.75" customHeight="1" hidden="1">
      <c r="A31" s="1370"/>
      <c s="1370"/>
      <c s="1370"/>
      <c s="1370"/>
      <c s="1370"/>
      <c s="1370"/>
      <c s="1370"/>
      <c s="1370"/>
      <c s="1370"/>
      <c s="1370"/>
      <c s="1370"/>
      <c s="1371"/>
      <c s="1370"/>
      <c s="1370"/>
      <c s="1370"/>
      <c s="1370"/>
      <c s="1370"/>
      <c r="S31" s="2252" t="s">
        <v>423</v>
      </c>
      <c s="2252"/>
      <c s="1374"/>
      <c s="2266" t="str">
        <f>IF(TITLE_DATE_PR_CHANGE="",IF(TITLE_DATE_PR="","",TITLE_DATE_PR),TITLE_DATE_PR_CHANGE)</f>
        <v/>
      </c>
      <c s="2266"/>
      <c s="2266"/>
      <c s="2266"/>
      <c s="2266"/>
      <c s="328"/>
      <c s="2266" t="str">
        <f>IF(TITLE_DATE_PR_CHANGE="",IF(TITLE_DATE_PR="","",TITLE_DATE_PR),TITLE_DATE_PR_CHANGE)</f>
        <v/>
      </c>
      <c s="2266"/>
      <c s="2266"/>
      <c s="2266"/>
      <c s="2266"/>
      <c s="2266"/>
      <c s="2266"/>
      <c s="2266"/>
      <c s="2266"/>
      <c s="2266"/>
      <c s="2266"/>
      <c s="2266"/>
      <c s="2266"/>
      <c s="2266"/>
      <c s="2266"/>
      <c s="2266"/>
      <c s="2266"/>
      <c s="328"/>
      <c s="328"/>
      <c s="282"/>
      <c s="370"/>
      <c s="370"/>
      <c s="370"/>
      <c s="370"/>
      <c s="370"/>
      <c s="420">
        <v>0</v>
      </c>
    </row>
    <row r="32" spans="1:53" s="1855" customFormat="1" ht="18.75" customHeight="1" hidden="1">
      <c r="A32" s="1370"/>
      <c s="1370"/>
      <c s="1370"/>
      <c s="1370"/>
      <c s="1370"/>
      <c s="1370"/>
      <c s="1370"/>
      <c s="1370"/>
      <c s="1370"/>
      <c s="1370"/>
      <c s="1370"/>
      <c s="1371"/>
      <c s="1370"/>
      <c s="1370"/>
      <c s="1370"/>
      <c s="1370"/>
      <c s="1370"/>
      <c r="S32" s="2252" t="s">
        <v>424</v>
      </c>
      <c s="2252"/>
      <c s="1374"/>
      <c s="2253" t="str">
        <f>IF(TITLE_NUMBER_PR_CHANGE="",IF(TITLE_NUMBER_PR="","",TITLE_NUMBER_PR),TITLE_NUMBER_PR_CHANGE)</f>
        <v/>
      </c>
      <c s="2253"/>
      <c s="2253"/>
      <c s="2253"/>
      <c s="2253"/>
      <c s="328"/>
      <c s="2253" t="str">
        <f>IF(TITLE_NUMBER_PR_CHANGE="",IF(TITLE_NUMBER_PR="","",TITLE_NUMBER_PR),TITLE_NUMBER_PR_CHANGE)</f>
        <v/>
      </c>
      <c s="2253"/>
      <c s="2253"/>
      <c s="2253"/>
      <c s="2253"/>
      <c s="2253"/>
      <c s="2253"/>
      <c s="2253"/>
      <c s="2253"/>
      <c s="2253"/>
      <c s="2253"/>
      <c s="2253"/>
      <c s="2253"/>
      <c s="2253"/>
      <c s="2253"/>
      <c s="2253"/>
      <c s="2253"/>
      <c s="328"/>
      <c s="328"/>
      <c s="282"/>
      <c s="370"/>
      <c s="370"/>
      <c s="370"/>
      <c s="370"/>
      <c s="370"/>
      <c s="420">
        <v>0</v>
      </c>
    </row>
    <row r="33" spans="1:53" s="1855" customFormat="1" ht="18.75" customHeight="1" hidden="1">
      <c r="A33" s="1370"/>
      <c s="1370"/>
      <c s="1370"/>
      <c s="1370"/>
      <c s="1370"/>
      <c s="1370"/>
      <c s="1370"/>
      <c s="1370"/>
      <c s="1370"/>
      <c s="1370"/>
      <c s="1370"/>
      <c s="1371"/>
      <c s="1370"/>
      <c s="1370"/>
      <c s="1370"/>
      <c s="1370"/>
      <c s="1370"/>
      <c r="S33" s="2252" t="s">
        <v>43</v>
      </c>
      <c s="2252"/>
      <c s="1374"/>
      <c s="2253" t="str">
        <f>IF(TITLE_IST_PUB_CHANGE="",IF(TITLE_IST_PUB="","",TITLE_IST_PUB),TITLE_IST_PUB_CHANGE)</f>
        <v/>
      </c>
      <c s="2253"/>
      <c s="2253"/>
      <c s="2253"/>
      <c s="2253"/>
      <c s="328"/>
      <c s="2253" t="str">
        <f>IF(TITLE_IST_PUB_CHANGE="",IF(TITLE_IST_PUB="","",TITLE_IST_PUB),TITLE_IST_PUB_CHANGE)</f>
        <v/>
      </c>
      <c s="2253"/>
      <c s="2253"/>
      <c s="2253"/>
      <c s="2253"/>
      <c s="2253"/>
      <c s="2253"/>
      <c s="2253"/>
      <c s="2253"/>
      <c s="2253"/>
      <c s="2253"/>
      <c s="2253"/>
      <c s="2253"/>
      <c s="2253"/>
      <c s="2253"/>
      <c s="2253"/>
      <c s="2253"/>
      <c s="328"/>
      <c s="328"/>
      <c s="282"/>
      <c s="370"/>
      <c s="370"/>
      <c s="370"/>
      <c s="370"/>
      <c s="370"/>
      <c s="420">
        <v>0</v>
      </c>
    </row>
    <row r="34" spans="17:53" ht="14.25" customHeight="1" hidden="1">
      <c r="Q34" s="293"/>
      <c s="378"/>
      <c s="1277"/>
      <c s="365"/>
      <c s="365"/>
      <c s="324"/>
      <c s="324"/>
      <c s="324"/>
      <c s="324"/>
      <c s="324"/>
      <c s="324"/>
      <c s="324"/>
      <c s="324"/>
      <c s="324"/>
      <c s="324"/>
      <c s="324"/>
      <c s="324"/>
      <c s="324"/>
      <c s="324"/>
      <c s="324"/>
      <c s="324"/>
      <c s="324"/>
      <c s="324"/>
      <c s="324"/>
      <c s="324"/>
      <c s="324"/>
      <c s="324"/>
      <c s="324"/>
      <c s="324"/>
      <c s="511"/>
      <c r="BA34" s="1157">
        <v>0</v>
      </c>
    </row>
    <row r="35" spans="1:53" s="1855" customFormat="1" ht="18.75" customHeight="1" hidden="1">
      <c r="A35" s="1370"/>
      <c s="1370"/>
      <c s="1370"/>
      <c s="1370"/>
      <c s="1370"/>
      <c s="1370"/>
      <c s="1370"/>
      <c s="1370"/>
      <c s="1370"/>
      <c s="1370"/>
      <c s="1370"/>
      <c s="1371"/>
      <c s="1370"/>
      <c s="1370"/>
      <c s="1370"/>
      <c s="1370"/>
      <c s="1370"/>
      <c r="S35" s="2252" t="s">
        <v>423</v>
      </c>
      <c s="2252"/>
      <c s="1374"/>
      <c s="2266" t="str">
        <f>IF(TITLE_DATE_PR_CHANGE="",IF(TITLE_DATE_PR="","",TITLE_DATE_PR),TITLE_DATE_PR_CHANGE)</f>
        <v/>
      </c>
      <c s="2266"/>
      <c s="2266"/>
      <c s="2266"/>
      <c s="2266"/>
      <c s="328"/>
      <c s="2266" t="str">
        <f>IF(TITLE_DATE_PR_CHANGE="",IF(TITLE_DATE_PR="","",TITLE_DATE_PR),TITLE_DATE_PR_CHANGE)</f>
        <v/>
      </c>
      <c s="2266"/>
      <c s="2266"/>
      <c s="2266"/>
      <c s="2266"/>
      <c s="2266"/>
      <c s="2266"/>
      <c s="2266"/>
      <c s="2266"/>
      <c s="2266"/>
      <c s="2266"/>
      <c s="2266"/>
      <c s="2266"/>
      <c s="2266"/>
      <c s="2266"/>
      <c s="2266"/>
      <c s="2266"/>
      <c s="328"/>
      <c s="328"/>
      <c s="282"/>
      <c s="370"/>
      <c s="370"/>
      <c s="370"/>
      <c s="370"/>
      <c s="370"/>
      <c s="420">
        <v>0</v>
      </c>
    </row>
    <row r="36" spans="1:53" s="1855" customFormat="1" ht="18" customHeight="1" hidden="1">
      <c r="A36" s="1370"/>
      <c s="1370"/>
      <c s="1370"/>
      <c s="1370"/>
      <c s="1370"/>
      <c s="1370"/>
      <c s="1370"/>
      <c s="1370"/>
      <c s="1370"/>
      <c s="1370"/>
      <c s="1370"/>
      <c s="1371"/>
      <c s="1370"/>
      <c s="1370"/>
      <c s="1370"/>
      <c s="1370"/>
      <c s="1370"/>
      <c r="S36" s="2252" t="s">
        <v>424</v>
      </c>
      <c s="2252"/>
      <c s="1374"/>
      <c s="2253" t="str">
        <f>IF(TITLE_NUMBER_PR_CHANGE="",IF(TITLE_NUMBER_PR="","",TITLE_NUMBER_PR),TITLE_NUMBER_PR_CHANGE)</f>
        <v/>
      </c>
      <c s="2253"/>
      <c s="2253"/>
      <c s="2253"/>
      <c s="2253"/>
      <c s="328"/>
      <c s="2253" t="str">
        <f>IF(TITLE_NUMBER_PR_CHANGE="",IF(TITLE_NUMBER_PR="","",TITLE_NUMBER_PR),TITLE_NUMBER_PR_CHANGE)</f>
        <v/>
      </c>
      <c s="2253"/>
      <c s="2253"/>
      <c s="2253"/>
      <c s="2253"/>
      <c s="2253"/>
      <c s="2253"/>
      <c s="2253"/>
      <c s="2253"/>
      <c s="2253"/>
      <c s="2253"/>
      <c s="2253"/>
      <c s="2253"/>
      <c s="2253"/>
      <c s="2253"/>
      <c s="2253"/>
      <c s="2253"/>
      <c s="328"/>
      <c s="328"/>
      <c s="282"/>
      <c s="370"/>
      <c s="370"/>
      <c s="370"/>
      <c s="370"/>
      <c s="370"/>
      <c s="420">
        <v>0</v>
      </c>
    </row>
    <row r="37" spans="1:53" s="1855" customFormat="1" ht="1.05" customHeight="1">
      <c r="A37" s="1370"/>
      <c s="1370"/>
      <c s="1370"/>
      <c s="1370"/>
      <c s="1370"/>
      <c s="1370"/>
      <c s="1370"/>
      <c s="1370"/>
      <c s="1370"/>
      <c s="1370"/>
      <c s="1370"/>
      <c s="1371"/>
      <c s="1370"/>
      <c s="1370"/>
      <c s="1370"/>
      <c s="1370"/>
      <c s="1370"/>
      <c r="S37" s="325"/>
      <c s="325"/>
      <c s="1342"/>
      <c s="328"/>
      <c s="328"/>
      <c s="328"/>
      <c s="328"/>
      <c s="328"/>
      <c s="280" t="s">
        <v>427</v>
      </c>
      <c s="328"/>
      <c s="328"/>
      <c s="328"/>
      <c s="328"/>
      <c s="328"/>
      <c s="328"/>
      <c s="328"/>
      <c s="328"/>
      <c s="328"/>
      <c s="328"/>
      <c s="328"/>
      <c s="328"/>
      <c s="328"/>
      <c s="328"/>
      <c s="328"/>
      <c s="328"/>
      <c s="328"/>
      <c s="280" t="s">
        <v>427</v>
      </c>
      <c r="AV37" s="370"/>
      <c s="370"/>
      <c s="370"/>
      <c s="370"/>
      <c s="370"/>
      <c s="420">
        <v>1</v>
      </c>
    </row>
    <row r="38" spans="17:53" ht="14.7" customHeight="1">
      <c r="Q38" s="293"/>
      <c s="378"/>
      <c s="1277"/>
      <c s="365"/>
      <c s="1246"/>
      <c s="2254"/>
      <c s="2254"/>
      <c s="2254"/>
      <c s="2254"/>
      <c s="2254"/>
      <c s="2254"/>
      <c s="2254"/>
      <c s="2254"/>
      <c s="2254"/>
      <c s="2254"/>
      <c s="2254"/>
      <c s="2254"/>
      <c s="2254"/>
      <c s="2254"/>
      <c s="2254"/>
      <c s="2254"/>
      <c s="2254"/>
      <c s="2254"/>
      <c s="2254"/>
      <c s="2254"/>
      <c s="2254"/>
      <c s="2254"/>
      <c s="2254"/>
      <c s="2254"/>
      <c r="BA38" s="1157">
        <v>14</v>
      </c>
    </row>
    <row r="39" spans="17:53" ht="14.7" customHeight="1">
      <c r="Q39" s="293"/>
      <c s="378"/>
      <c s="2129" t="s">
        <v>300</v>
      </c>
      <c s="2129"/>
      <c s="2129"/>
      <c s="2129"/>
      <c s="2129"/>
      <c s="2129"/>
      <c s="2129"/>
      <c s="2129"/>
      <c s="2129"/>
      <c s="2177"/>
      <c s="2177"/>
      <c s="2177"/>
      <c s="2177"/>
      <c s="2129"/>
      <c s="2129"/>
      <c s="2129"/>
      <c s="2129"/>
      <c s="2129"/>
      <c s="2129"/>
      <c s="2129"/>
      <c s="2129"/>
      <c s="2129"/>
      <c s="2129"/>
      <c s="2129"/>
      <c s="2129"/>
      <c s="2129"/>
      <c s="2129"/>
      <c s="2129"/>
      <c s="2129" t="s">
        <v>301</v>
      </c>
      <c r="BA39" s="1157">
        <v>14</v>
      </c>
    </row>
    <row r="40" spans="17:53" ht="14.7" customHeight="1">
      <c r="Q40" s="293"/>
      <c s="378"/>
      <c s="2275" t="s">
        <v>87</v>
      </c>
      <c s="2211" t="s">
        <v>473</v>
      </c>
      <c s="303"/>
      <c s="2277"/>
      <c s="2277"/>
      <c s="2277"/>
      <c s="2277"/>
      <c s="2278"/>
      <c s="2338" t="s">
        <v>430</v>
      </c>
      <c s="2330" t="s">
        <v>474</v>
      </c>
      <c s="2293"/>
      <c s="2293"/>
      <c s="2331"/>
      <c s="2293" t="s">
        <v>475</v>
      </c>
      <c s="2293"/>
      <c s="2293"/>
      <c s="2331"/>
      <c s="2330" t="s">
        <v>476</v>
      </c>
      <c s="2293"/>
      <c s="2293"/>
      <c s="2331"/>
      <c s="2330" t="s">
        <v>429</v>
      </c>
      <c s="2293"/>
      <c s="2277"/>
      <c s="2277"/>
      <c s="2278"/>
      <c s="2279" t="s">
        <v>430</v>
      </c>
      <c s="2282" t="s">
        <v>432</v>
      </c>
      <c s="2129"/>
      <c r="BA40" s="1157">
        <v>14</v>
      </c>
    </row>
    <row r="41" spans="17:53" ht="35.7" customHeight="1">
      <c r="Q41" s="293"/>
      <c s="378"/>
      <c s="2275"/>
      <c s="2211"/>
      <c s="1033"/>
      <c s="2129" t="s">
        <v>477</v>
      </c>
      <c s="2129"/>
      <c s="2296" t="s">
        <v>436</v>
      </c>
      <c s="2315"/>
      <c s="2316"/>
      <c s="2339"/>
      <c s="2332"/>
      <c s="2333"/>
      <c s="2333"/>
      <c s="2334"/>
      <c s="2333"/>
      <c s="2333"/>
      <c s="2333"/>
      <c s="2334"/>
      <c s="2332"/>
      <c s="2333"/>
      <c s="2333"/>
      <c s="2333"/>
      <c s="2129" t="s">
        <v>477</v>
      </c>
      <c s="2129"/>
      <c s="2315" t="s">
        <v>436</v>
      </c>
      <c s="2315"/>
      <c s="2316"/>
      <c s="2280"/>
      <c s="2283"/>
      <c s="2129"/>
      <c r="BA41" s="1157">
        <v>34</v>
      </c>
    </row>
    <row r="42" spans="17:53" ht="14.7" customHeight="1">
      <c r="Q42" s="293"/>
      <c s="378"/>
      <c s="2275"/>
      <c s="2211"/>
      <c s="1033"/>
      <c s="2342" t="str">
        <f>IF($AN$42&lt;&gt;"",$AN$42,"")</f>
        <v/>
      </c>
      <c s="2342"/>
      <c s="2297"/>
      <c s="2317"/>
      <c s="2318"/>
      <c s="2339"/>
      <c s="2332"/>
      <c s="2333"/>
      <c s="2333"/>
      <c s="2334"/>
      <c s="2333"/>
      <c s="2333"/>
      <c s="2333"/>
      <c s="2334"/>
      <c s="2332"/>
      <c s="2333"/>
      <c s="2333"/>
      <c s="2333"/>
      <c s="2341"/>
      <c s="2341"/>
      <c s="2317"/>
      <c s="2317"/>
      <c s="2318"/>
      <c s="2280"/>
      <c s="2283"/>
      <c s="2129"/>
      <c r="BA42" s="1157">
        <v>14</v>
      </c>
    </row>
    <row r="43" spans="1:53" ht="14.7" customHeight="1">
      <c r="A43" s="1372"/>
      <c s="1372" t="s">
        <v>137</v>
      </c>
      <c s="1372" t="s">
        <v>138</v>
      </c>
      <c s="1372" t="s">
        <v>139</v>
      </c>
      <c s="1366" t="s">
        <v>437</v>
      </c>
      <c s="1366" t="s">
        <v>438</v>
      </c>
      <c s="1366" t="s">
        <v>439</v>
      </c>
      <c s="1366" t="s">
        <v>440</v>
      </c>
      <c s="1366" t="s">
        <v>441</v>
      </c>
      <c s="1366" t="s">
        <v>442</v>
      </c>
      <c s="1366" t="s">
        <v>443</v>
      </c>
      <c s="1366" t="s">
        <v>418</v>
      </c>
      <c r="Q43" s="293"/>
      <c s="378"/>
      <c s="2275"/>
      <c s="2211"/>
      <c s="304"/>
      <c s="1332" t="s">
        <v>478</v>
      </c>
      <c s="1332" t="s">
        <v>479</v>
      </c>
      <c s="1340" t="s">
        <v>446</v>
      </c>
      <c s="2272" t="s">
        <v>447</v>
      </c>
      <c s="2273"/>
      <c s="2340"/>
      <c s="2335"/>
      <c s="2336"/>
      <c s="2336"/>
      <c s="2337"/>
      <c s="2336"/>
      <c s="2336"/>
      <c s="2336"/>
      <c s="2337"/>
      <c s="2335"/>
      <c s="2336"/>
      <c s="2336"/>
      <c s="2337"/>
      <c s="1862" t="s">
        <v>478</v>
      </c>
      <c s="1862" t="s">
        <v>479</v>
      </c>
      <c s="1340" t="s">
        <v>446</v>
      </c>
      <c s="2272" t="s">
        <v>447</v>
      </c>
      <c s="2273"/>
      <c s="2281"/>
      <c s="2284"/>
      <c s="2129"/>
      <c r="BA43" s="1157">
        <v>14</v>
      </c>
    </row>
    <row r="44" spans="1:53" s="1643" customFormat="1" ht="11.25" customHeight="1" hidden="1">
      <c r="A44" s="1372"/>
      <c s="1372"/>
      <c s="1372"/>
      <c s="1372"/>
      <c s="1372"/>
      <c s="1372"/>
      <c s="1372"/>
      <c s="1372"/>
      <c s="1372"/>
      <c s="1372"/>
      <c s="1372"/>
      <c s="1366"/>
      <c s="1364"/>
      <c s="1364"/>
      <c s="1364"/>
      <c s="512"/>
      <c s="1256"/>
      <c s="1256">
        <v>1</v>
      </c>
      <c s="1279" t="s">
        <v>109</v>
      </c>
      <c s="1257" t="s">
        <v>110</v>
      </c>
      <c s="1247" t="str">
        <f ca="1">OFFSET(U44,0,-1)</f>
        <v>2</v>
      </c>
      <c s="1337">
        <f ca="1">OFFSET(V44,0,-1)+1</f>
        <v>3</v>
      </c>
      <c s="1337">
        <f ca="1">OFFSET(W44,0,-1)+1</f>
        <v>4</v>
      </c>
      <c s="1337">
        <f ca="1">OFFSET(X44,0,-1)+1</f>
        <v>5</v>
      </c>
      <c s="2274">
        <f ca="1">OFFSET(Y44,0,-1)+1</f>
        <v>6</v>
      </c>
      <c s="2274"/>
      <c s="1337">
        <f ca="1">OFFSET(AA44,0,-2)+1</f>
        <v>7</v>
      </c>
      <c s="1343">
        <f ca="1">OFFSET(AB44,0,-1)+1</f>
        <v>8</v>
      </c>
      <c s="1343"/>
      <c s="1343"/>
      <c s="1343"/>
      <c s="1337"/>
      <c s="1337"/>
      <c s="1337"/>
      <c s="1337"/>
      <c s="1337"/>
      <c s="1337"/>
      <c s="1337"/>
      <c s="1337"/>
      <c s="1337">
        <f ca="1">OFFSET(AN44,0,-1)+1</f>
        <v>1</v>
      </c>
      <c s="1337">
        <f ca="1">OFFSET(AO44,0,-1)+1</f>
        <v>2</v>
      </c>
      <c s="1337">
        <f ca="1">OFFSET(AP44,0,-1)+1</f>
        <v>3</v>
      </c>
      <c s="2274">
        <f ca="1">OFFSET(AQ44,0,-1)+1</f>
        <v>4</v>
      </c>
      <c s="2274"/>
      <c s="1337">
        <f ca="1">OFFSET(AS44,0,-2)+1</f>
        <v>5</v>
      </c>
      <c s="1247">
        <f ca="1">OFFSET(AT44,0,-1)</f>
        <v>5</v>
      </c>
      <c s="1337">
        <f ca="1">OFFSET(AU44,0,-1)+1</f>
        <v>6</v>
      </c>
      <c s="513"/>
      <c s="513"/>
      <c s="513"/>
      <c s="513"/>
      <c s="513"/>
      <c s="498">
        <v>0</v>
      </c>
    </row>
    <row r="45" spans="1:53" ht="107.25" customHeight="1">
      <c r="A45" s="1365" t="s">
        <v>200</v>
      </c>
      <c s="1365"/>
      <c s="1365"/>
      <c s="1365"/>
      <c s="2260">
        <v>1</v>
      </c>
      <c s="1365"/>
      <c s="1365"/>
      <c s="1365"/>
      <c s="1365"/>
      <c s="1365"/>
      <c s="1365"/>
      <c s="1366"/>
      <c s="1367"/>
      <c s="1367"/>
      <c s="1367"/>
      <c s="1411"/>
      <c s="875"/>
      <c s="357"/>
      <c s="1338">
        <f>INDEX(PT_DIFFERENTIATION_NUM_NTAR,MATCH(A45,PT_DIFFERENTIATION_NTAR_ID,0))</f>
        <v>0</v>
      </c>
      <c s="300" t="s">
        <v>125</v>
      </c>
      <c s="302"/>
      <c s="2245"/>
      <c s="2245"/>
      <c s="2245"/>
      <c s="2245"/>
      <c s="2245"/>
      <c s="2246"/>
      <c s="2244" t="str">
        <f>INDEX(PT_DIFFERENTIATION_NTAR,MATCH(A45,PT_DIFFERENTIATION_NTAR_ID,0))</f>
        <v/>
      </c>
      <c s="2245"/>
      <c s="2245"/>
      <c s="2245"/>
      <c s="2245"/>
      <c s="2245"/>
      <c s="2245"/>
      <c s="2245"/>
      <c s="2245"/>
      <c s="2245"/>
      <c s="2245"/>
      <c s="2245"/>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s="502" t="str">
        <f>IF(T45="","",T45)</f>
        <v>Наименование тарифа</v>
      </c>
      <c s="502"/>
      <c s="502"/>
      <c s="1157">
        <v>102</v>
      </c>
    </row>
    <row r="46" spans="1:53" ht="22.05" customHeight="1">
      <c r="A46" s="1365" t="s">
        <v>200</v>
      </c>
      <c s="1365" t="s">
        <v>201</v>
      </c>
      <c s="1365"/>
      <c s="1365"/>
      <c s="2261"/>
      <c s="2260">
        <v>1</v>
      </c>
      <c s="1365"/>
      <c s="1365"/>
      <c s="1365"/>
      <c s="1365"/>
      <c s="1365"/>
      <c s="1366"/>
      <c s="1367"/>
      <c s="1367"/>
      <c s="1367"/>
      <c s="1412"/>
      <c s="1413"/>
      <c s="355"/>
      <c s="1338" t="str">
        <f>INDEX(PT_DIFFERENTIATION_NUM_TER,MATCH(B46,PT_DIFFERENTIATION_TER_ID,0))</f>
        <v>.</v>
      </c>
      <c s="310" t="s">
        <v>397</v>
      </c>
      <c s="302"/>
      <c s="2245"/>
      <c s="2245"/>
      <c s="2245"/>
      <c s="2245"/>
      <c s="2245"/>
      <c s="2246"/>
      <c s="2244" t="str">
        <f>INDEX(PT_DIFFERENTIATION_TER,MATCH(B46,PT_DIFFERENTIATION_TER_ID,0))</f>
        <v/>
      </c>
      <c s="2245"/>
      <c s="2245"/>
      <c s="2245"/>
      <c s="2245"/>
      <c s="2245"/>
      <c s="2245"/>
      <c s="2245"/>
      <c s="2245"/>
      <c s="2245"/>
      <c s="2245"/>
      <c s="2245"/>
      <c s="2245"/>
      <c s="2245"/>
      <c s="2245"/>
      <c s="2245"/>
      <c s="2245"/>
      <c s="2245"/>
      <c s="2246"/>
      <c s="1260" t="s">
        <v>398</v>
      </c>
      <c r="AW46" s="502"/>
      <c s="502" t="str">
        <f>IF(T46="","",T46)</f>
        <v>Территория действия тарифа</v>
      </c>
      <c s="502"/>
      <c s="502"/>
      <c s="1157">
        <v>21</v>
      </c>
    </row>
    <row r="47" spans="1:53" ht="24" customHeight="1">
      <c r="A47" s="1365" t="s">
        <v>200</v>
      </c>
      <c s="1365" t="s">
        <v>201</v>
      </c>
      <c s="1365" t="s">
        <v>202</v>
      </c>
      <c s="1365"/>
      <c s="2261"/>
      <c s="2261"/>
      <c s="2260">
        <v>1</v>
      </c>
      <c s="1365"/>
      <c s="1365"/>
      <c s="1365"/>
      <c s="1365"/>
      <c s="1366"/>
      <c s="1367"/>
      <c s="1367"/>
      <c s="1367"/>
      <c s="1414"/>
      <c s="1413"/>
      <c s="355"/>
      <c s="1338" t="str">
        <f>INDEX(PT_DIFFERENTIATION_NUM_CS,MATCH(C47,PT_DIFFERENTIATION_CS_ID,0))</f>
        <v>..</v>
      </c>
      <c s="311" t="s">
        <v>399</v>
      </c>
      <c s="302"/>
      <c s="2245"/>
      <c s="2245"/>
      <c s="2245"/>
      <c s="2245"/>
      <c s="2245"/>
      <c s="2246"/>
      <c s="2244" t="str">
        <f>INDEX(PT_DIFFERENTIATION_CS,MATCH(C47,PT_DIFFERENTIATION_CS_ID,0))</f>
        <v/>
      </c>
      <c s="2245"/>
      <c s="2245"/>
      <c s="2245"/>
      <c s="2245"/>
      <c s="2245"/>
      <c s="2245"/>
      <c s="2245"/>
      <c s="2245"/>
      <c s="2245"/>
      <c s="2245"/>
      <c s="2245"/>
      <c s="2245"/>
      <c s="2245"/>
      <c s="2245"/>
      <c s="2245"/>
      <c s="2245"/>
      <c s="2245"/>
      <c s="2246"/>
      <c s="1260" t="s">
        <v>400</v>
      </c>
      <c r="AW47" s="502"/>
      <c s="502" t="str">
        <f>IF(T47="","",T47)</f>
        <v>Наименование системы теплоснабжения</v>
      </c>
      <c s="502"/>
      <c s="502"/>
      <c s="1157">
        <v>23</v>
      </c>
    </row>
    <row r="48" spans="1:53" ht="21" customHeight="1">
      <c r="A48" s="1365" t="s">
        <v>200</v>
      </c>
      <c s="1365" t="s">
        <v>201</v>
      </c>
      <c s="1365" t="s">
        <v>202</v>
      </c>
      <c s="1365" t="s">
        <v>203</v>
      </c>
      <c s="2261"/>
      <c s="2261"/>
      <c s="2261"/>
      <c s="2260">
        <v>1</v>
      </c>
      <c s="1365"/>
      <c s="1365"/>
      <c s="1365"/>
      <c s="1366"/>
      <c s="1367"/>
      <c s="1367"/>
      <c s="1367"/>
      <c s="1414"/>
      <c s="1413"/>
      <c s="355"/>
      <c s="1338" t="str">
        <f>INDEX(PT_DIFFERENTIATION_NUM_IST_TE,MATCH(D48,PT_DIFFERENTIATION_IST_TE_ID,0))</f>
        <v>...</v>
      </c>
      <c s="312" t="s">
        <v>401</v>
      </c>
      <c s="302"/>
      <c s="2245"/>
      <c s="2245"/>
      <c s="2245"/>
      <c s="2245"/>
      <c s="2245"/>
      <c s="2246"/>
      <c s="2244" t="str">
        <f>INDEX(PT_DIFFERENTIATION_IST_TE,MATCH(D48,PT_DIFFERENTIATION_IST_TE_ID,0))</f>
        <v/>
      </c>
      <c s="2245"/>
      <c s="2245"/>
      <c s="2245"/>
      <c s="2245"/>
      <c s="2245"/>
      <c s="2245"/>
      <c s="2245"/>
      <c s="2245"/>
      <c s="2245"/>
      <c s="2245"/>
      <c s="2245"/>
      <c s="2245"/>
      <c s="2245"/>
      <c s="2245"/>
      <c s="2245"/>
      <c s="2245"/>
      <c s="2245"/>
      <c s="2246"/>
      <c s="1260" t="s">
        <v>402</v>
      </c>
      <c r="AW48" s="502"/>
      <c s="502" t="str">
        <f>IF(T48="","",T48)</f>
        <v>Источник тепловой энергии</v>
      </c>
      <c s="502"/>
      <c s="502"/>
      <c s="1157">
        <v>20</v>
      </c>
    </row>
    <row r="49" spans="1:53" s="1644" customFormat="1" ht="1.05" customHeight="1">
      <c r="A49" s="1345" t="s">
        <v>200</v>
      </c>
      <c s="1345" t="s">
        <v>201</v>
      </c>
      <c s="1345" t="s">
        <v>202</v>
      </c>
      <c s="1345" t="s">
        <v>203</v>
      </c>
      <c s="2261"/>
      <c s="2261"/>
      <c s="2261"/>
      <c s="2261"/>
      <c s="2258" t="str">
        <f>S48&amp;".1"</f>
        <v>....1</v>
      </c>
      <c s="1345"/>
      <c s="1345"/>
      <c s="1348" t="s">
        <v>403</v>
      </c>
      <c s="512"/>
      <c s="512"/>
      <c s="512"/>
      <c s="2259">
        <v>1</v>
      </c>
      <c s="1333"/>
      <c s="358"/>
      <c s="1044"/>
      <c s="1385"/>
      <c s="1386"/>
      <c s="2299"/>
      <c s="2299"/>
      <c s="2299"/>
      <c s="2299"/>
      <c s="2299"/>
      <c s="2300"/>
      <c s="2298"/>
      <c s="2299"/>
      <c s="2299"/>
      <c s="2299"/>
      <c s="2299"/>
      <c s="2299"/>
      <c s="2299"/>
      <c s="2299"/>
      <c s="2299"/>
      <c s="2299"/>
      <c s="2299"/>
      <c s="2299"/>
      <c s="2299"/>
      <c s="2299"/>
      <c s="2299"/>
      <c s="2299"/>
      <c s="2299"/>
      <c s="2299"/>
      <c s="2300"/>
      <c s="1387"/>
      <c r="AW49" s="502"/>
      <c s="502" t="str">
        <f>IF(T49="","",T49)</f>
        <v/>
      </c>
      <c s="502"/>
      <c s="502"/>
      <c s="513">
        <v>1</v>
      </c>
    </row>
    <row r="50" spans="1:53" s="1644" customFormat="1" ht="1.05" customHeight="1">
      <c r="A50" s="1345" t="s">
        <v>200</v>
      </c>
      <c s="1345" t="s">
        <v>201</v>
      </c>
      <c s="1345" t="s">
        <v>202</v>
      </c>
      <c s="1345" t="s">
        <v>203</v>
      </c>
      <c s="2261"/>
      <c s="2261"/>
      <c s="2261"/>
      <c s="2261"/>
      <c s="2288"/>
      <c s="2258" t="str">
        <f>S48&amp;".1"</f>
        <v>....1</v>
      </c>
      <c s="1345"/>
      <c s="1348"/>
      <c s="512"/>
      <c s="512"/>
      <c s="512"/>
      <c s="2259"/>
      <c s="2259">
        <v>1</v>
      </c>
      <c s="359"/>
      <c s="1044"/>
      <c s="1401"/>
      <c s="1386"/>
      <c s="2299"/>
      <c s="2299"/>
      <c s="2299"/>
      <c s="2299"/>
      <c s="2299"/>
      <c s="2300"/>
      <c s="2298"/>
      <c s="2299"/>
      <c s="2299"/>
      <c s="2299"/>
      <c s="2299"/>
      <c s="2299"/>
      <c s="2299"/>
      <c s="2299"/>
      <c s="2299"/>
      <c s="2299"/>
      <c s="2299"/>
      <c s="2299"/>
      <c s="2299"/>
      <c s="2299"/>
      <c s="2299"/>
      <c s="2299"/>
      <c s="2299"/>
      <c s="2299"/>
      <c s="2300"/>
      <c s="1387"/>
      <c r="AW50" s="502"/>
      <c s="502" t="str">
        <f>IF(T50="","",T50)</f>
        <v/>
      </c>
      <c s="502"/>
      <c s="502"/>
      <c s="513">
        <v>1</v>
      </c>
    </row>
    <row r="51" spans="1:53" ht="22.05" customHeight="1">
      <c r="A51" s="1365" t="s">
        <v>200</v>
      </c>
      <c s="1365" t="s">
        <v>201</v>
      </c>
      <c s="1365" t="s">
        <v>202</v>
      </c>
      <c s="1365" t="s">
        <v>203</v>
      </c>
      <c s="2261"/>
      <c s="2261"/>
      <c s="2261"/>
      <c s="2261"/>
      <c s="2288"/>
      <c s="2288"/>
      <c s="2258" t="str">
        <f>S48&amp;".1"</f>
        <v>....1</v>
      </c>
      <c s="1366"/>
      <c r="P51" s="2259"/>
      <c s="2259"/>
      <c s="359">
        <v>1</v>
      </c>
      <c s="2343" t="str">
        <f>$K51</f>
        <v>....1</v>
      </c>
      <c s="2346"/>
      <c s="302"/>
      <c s="753"/>
      <c s="1259"/>
      <c s="1736"/>
      <c s="1461" t="s">
        <v>65</v>
      </c>
      <c s="1736"/>
      <c s="1461" t="s">
        <v>65</v>
      </c>
      <c s="2109" t="s">
        <v>19</v>
      </c>
      <c s="2328"/>
      <c s="2207">
        <v>1</v>
      </c>
      <c s="2350" t="s">
        <v>22</v>
      </c>
      <c s="2109" t="s">
        <v>19</v>
      </c>
      <c s="2328"/>
      <c s="2207">
        <v>1</v>
      </c>
      <c s="2350" t="s">
        <v>22</v>
      </c>
      <c s="2109" t="s">
        <v>19</v>
      </c>
      <c s="313"/>
      <c s="1339">
        <v>1</v>
      </c>
      <c s="1404"/>
      <c s="753"/>
      <c s="1259"/>
      <c s="1736"/>
      <c s="1461" t="s">
        <v>65</v>
      </c>
      <c s="1736"/>
      <c s="1461" t="s">
        <v>65</v>
      </c>
      <c s="1350"/>
      <c s="2255" t="s">
        <v>480</v>
      </c>
      <c s="513">
        <f>STRCHECKDATE(V54:AT54)</f>
      </c>
      <c s="502"/>
      <c s="502" t="str">
        <f>IF(T51="","",T51)</f>
        <v/>
      </c>
      <c s="502"/>
      <c s="502"/>
      <c s="1157">
        <v>21</v>
      </c>
    </row>
    <row r="52" spans="1:53" ht="11.55" customHeight="1">
      <c r="A52" s="1365" t="s">
        <v>200</v>
      </c>
      <c s="1365"/>
      <c s="1365"/>
      <c s="1365"/>
      <c s="2261"/>
      <c s="2261"/>
      <c s="2261"/>
      <c s="2261"/>
      <c s="2288"/>
      <c s="2288"/>
      <c s="2258"/>
      <c s="1366"/>
      <c r="P52" s="2259"/>
      <c s="2259"/>
      <c s="359"/>
      <c s="2344"/>
      <c s="2347"/>
      <c s="302"/>
      <c s="1395"/>
      <c s="1498"/>
      <c s="1395"/>
      <c s="1395"/>
      <c s="1395"/>
      <c s="1395"/>
      <c s="2109"/>
      <c s="2328"/>
      <c s="2207"/>
      <c s="2350"/>
      <c s="2109"/>
      <c s="2328"/>
      <c s="2207"/>
      <c s="2350"/>
      <c s="2109"/>
      <c s="318"/>
      <c s="418"/>
      <c s="417" t="s">
        <v>465</v>
      </c>
      <c s="1395"/>
      <c s="1498"/>
      <c s="1395"/>
      <c s="1395"/>
      <c s="1395"/>
      <c s="1395"/>
      <c s="1392"/>
      <c s="2256"/>
      <c r="AW52" s="502"/>
      <c s="502"/>
      <c s="502"/>
      <c s="502"/>
      <c s="1157">
        <v>11</v>
      </c>
    </row>
    <row r="53" spans="1:53" ht="11.55" customHeight="1">
      <c r="A53" s="1365" t="s">
        <v>200</v>
      </c>
      <c s="1365"/>
      <c s="1365"/>
      <c s="1365"/>
      <c s="2261"/>
      <c s="2261"/>
      <c s="2261"/>
      <c s="2261"/>
      <c s="2288"/>
      <c s="2288"/>
      <c s="2258"/>
      <c s="1366"/>
      <c r="P53" s="2259"/>
      <c s="2259"/>
      <c s="359"/>
      <c s="2344"/>
      <c s="2347"/>
      <c s="302"/>
      <c s="1395"/>
      <c s="1498"/>
      <c s="1395"/>
      <c s="1395"/>
      <c s="1395"/>
      <c s="1395"/>
      <c s="2109"/>
      <c s="2328"/>
      <c s="2207"/>
      <c s="2350"/>
      <c s="2109"/>
      <c s="296"/>
      <c s="417"/>
      <c s="417" t="s">
        <v>466</v>
      </c>
      <c s="1395"/>
      <c s="1395"/>
      <c s="1395"/>
      <c s="1395"/>
      <c s="1395"/>
      <c s="1498"/>
      <c s="1395"/>
      <c s="1395"/>
      <c s="1395"/>
      <c s="1395"/>
      <c s="1392"/>
      <c s="2256"/>
      <c r="AW53" s="502"/>
      <c s="502"/>
      <c s="502"/>
      <c s="502"/>
      <c s="1157">
        <v>11</v>
      </c>
    </row>
    <row r="54" spans="1:53" ht="11.55" customHeight="1">
      <c r="A54" s="1365" t="s">
        <v>200</v>
      </c>
      <c s="1365" t="s">
        <v>201</v>
      </c>
      <c s="1365" t="s">
        <v>202</v>
      </c>
      <c s="1365" t="s">
        <v>203</v>
      </c>
      <c s="2261"/>
      <c s="2261"/>
      <c s="2261"/>
      <c s="2261"/>
      <c s="2288"/>
      <c s="2288"/>
      <c s="2258"/>
      <c s="1366"/>
      <c r="P54" s="2259"/>
      <c s="2259"/>
      <c s="359"/>
      <c s="2345"/>
      <c s="2348"/>
      <c s="302"/>
      <c s="1395"/>
      <c s="1396" t="str">
        <f>X51&amp;"-"&amp;Z51</f>
        <v>-</v>
      </c>
      <c s="1395"/>
      <c s="1395"/>
      <c s="1395"/>
      <c s="1395"/>
      <c s="2109"/>
      <c s="314"/>
      <c s="316"/>
      <c s="417" t="s">
        <v>467</v>
      </c>
      <c s="1395"/>
      <c s="1395"/>
      <c s="1395"/>
      <c s="1395"/>
      <c s="1395"/>
      <c s="1395"/>
      <c s="1395"/>
      <c s="1395"/>
      <c s="1395"/>
      <c s="1396" t="str">
        <f>AP51&amp;"-"&amp;AR51</f>
        <v>-</v>
      </c>
      <c s="1395"/>
      <c s="1395"/>
      <c s="1395"/>
      <c s="1395"/>
      <c s="1351"/>
      <c s="2256"/>
      <c r="AW54" s="502"/>
      <c s="502" t="str">
        <f>IF(T54="","",T54)</f>
        <v/>
      </c>
      <c s="502"/>
      <c s="502"/>
      <c s="1157">
        <v>11</v>
      </c>
    </row>
    <row r="55" spans="1:53" ht="11.55" customHeight="1">
      <c r="A55" s="1365" t="s">
        <v>200</v>
      </c>
      <c s="1365" t="s">
        <v>201</v>
      </c>
      <c s="1365" t="s">
        <v>202</v>
      </c>
      <c s="1365" t="s">
        <v>203</v>
      </c>
      <c s="2261"/>
      <c s="2261"/>
      <c s="2261"/>
      <c s="2261"/>
      <c s="2288"/>
      <c s="2258"/>
      <c s="1365"/>
      <c s="1366"/>
      <c r="P55" s="2259"/>
      <c s="2259"/>
      <c s="358"/>
      <c s="1280"/>
      <c s="289" t="s">
        <v>468</v>
      </c>
      <c s="369"/>
      <c s="369"/>
      <c s="369"/>
      <c s="369"/>
      <c s="369"/>
      <c s="369"/>
      <c s="326"/>
      <c s="1507"/>
      <c s="369"/>
      <c s="369"/>
      <c s="369"/>
      <c s="369"/>
      <c s="369"/>
      <c s="369"/>
      <c s="369"/>
      <c s="369"/>
      <c s="369"/>
      <c s="369"/>
      <c s="369"/>
      <c s="369"/>
      <c s="369"/>
      <c s="369"/>
      <c s="369"/>
      <c s="369"/>
      <c s="369"/>
      <c s="326"/>
      <c s="2257"/>
      <c r="AW55" s="502"/>
      <c s="502" t="str">
        <f>IF(T55="","",T55)</f>
        <v>Добавить строку</v>
      </c>
      <c s="502"/>
      <c s="502"/>
      <c s="1157">
        <v>11</v>
      </c>
    </row>
    <row r="56" spans="1:53" s="1644" customFormat="1" ht="1.05" customHeight="1">
      <c r="A56" s="1345" t="s">
        <v>200</v>
      </c>
      <c s="1345" t="s">
        <v>201</v>
      </c>
      <c s="1345" t="s">
        <v>202</v>
      </c>
      <c s="1345" t="s">
        <v>203</v>
      </c>
      <c s="2261"/>
      <c s="2261"/>
      <c s="2261"/>
      <c s="2261"/>
      <c s="2258"/>
      <c s="1345"/>
      <c s="1345"/>
      <c s="1348"/>
      <c s="512"/>
      <c s="512"/>
      <c s="512"/>
      <c s="2259"/>
      <c s="1333"/>
      <c s="358"/>
      <c s="1388"/>
      <c s="1389" t="s">
        <v>412</v>
      </c>
      <c s="1390"/>
      <c s="1390"/>
      <c s="1390"/>
      <c s="1390"/>
      <c s="1390"/>
      <c s="1390"/>
      <c s="1390"/>
      <c s="1390"/>
      <c s="1390"/>
      <c s="1390"/>
      <c s="1390"/>
      <c s="1390"/>
      <c s="1390"/>
      <c s="1390"/>
      <c s="1390"/>
      <c s="1390"/>
      <c s="1390"/>
      <c s="1390"/>
      <c s="1390"/>
      <c s="1390"/>
      <c s="1390"/>
      <c s="1390"/>
      <c s="1390"/>
      <c s="1390"/>
      <c s="1390"/>
      <c s="1390"/>
      <c s="1391"/>
      <c r="AW56" s="502"/>
      <c s="502" t="str">
        <f>IF(T56="","",T56)</f>
        <v>Добавить группу потребителей</v>
      </c>
      <c s="502"/>
      <c s="502"/>
      <c s="513">
        <v>1</v>
      </c>
    </row>
    <row r="57" spans="1:53" s="1643" customFormat="1" ht="1.05" customHeight="1">
      <c r="A57" s="1345" t="s">
        <v>200</v>
      </c>
      <c s="1345" t="s">
        <v>201</v>
      </c>
      <c s="1345" t="s">
        <v>202</v>
      </c>
      <c s="1345" t="s">
        <v>203</v>
      </c>
      <c s="2261"/>
      <c s="2261"/>
      <c s="2261"/>
      <c s="2260"/>
      <c s="1345"/>
      <c s="1345"/>
      <c s="1345"/>
      <c s="1348"/>
      <c s="1317"/>
      <c s="1317"/>
      <c s="520"/>
      <c s="382"/>
      <c s="1346"/>
      <c s="1402"/>
      <c s="1388"/>
      <c s="1389"/>
      <c s="1390"/>
      <c s="1390"/>
      <c s="1390"/>
      <c s="1390"/>
      <c s="1390"/>
      <c s="1390"/>
      <c s="1390"/>
      <c s="1390"/>
      <c s="1390"/>
      <c s="1390"/>
      <c s="1390"/>
      <c s="1390"/>
      <c s="1390"/>
      <c s="1390"/>
      <c s="1390"/>
      <c s="1390"/>
      <c s="1390"/>
      <c s="1390"/>
      <c s="1390"/>
      <c s="1390"/>
      <c s="1390"/>
      <c s="1390"/>
      <c s="1390"/>
      <c s="1390"/>
      <c s="1390"/>
      <c s="1390"/>
      <c s="1391"/>
      <c s="513"/>
      <c s="502"/>
      <c s="502" t="str">
        <f>IF(T57="","",T57)</f>
        <v/>
      </c>
      <c s="502"/>
      <c s="502"/>
      <c s="498">
        <v>1</v>
      </c>
    </row>
    <row r="58" spans="1:53" s="1644" customFormat="1" ht="1.05" customHeight="1">
      <c r="A58" s="1345" t="s">
        <v>200</v>
      </c>
      <c s="1345" t="s">
        <v>201</v>
      </c>
      <c s="1345" t="s">
        <v>202</v>
      </c>
      <c s="1316"/>
      <c s="2261"/>
      <c s="2261"/>
      <c s="2260"/>
      <c s="1316"/>
      <c s="1316"/>
      <c s="1316"/>
      <c s="1316"/>
      <c s="1341"/>
      <c s="1317"/>
      <c s="1317"/>
      <c r="P58" s="1318"/>
      <c s="1319"/>
      <c s="1318"/>
      <c s="1324"/>
      <c s="1327" t="s">
        <v>414</v>
      </c>
      <c s="1326"/>
      <c s="1326"/>
      <c s="1326"/>
      <c s="1326"/>
      <c s="1326"/>
      <c s="1326"/>
      <c s="1326"/>
      <c s="1326"/>
      <c s="1326"/>
      <c s="1326"/>
      <c s="1326"/>
      <c s="1326"/>
      <c s="1326"/>
      <c s="1326"/>
      <c s="1326"/>
      <c s="1326"/>
      <c s="1326"/>
      <c s="1326"/>
      <c s="1326"/>
      <c s="1326"/>
      <c s="1326"/>
      <c s="1326"/>
      <c s="1326"/>
      <c s="1326"/>
      <c s="1326"/>
      <c s="1326"/>
      <c s="1326"/>
      <c r="AW58" s="791"/>
      <c s="791" t="str">
        <f>IF(T58="","",T58)</f>
        <v>Добавить источник для дифференциации</v>
      </c>
      <c s="791"/>
      <c s="791"/>
      <c s="520">
        <v>1</v>
      </c>
    </row>
    <row r="59" spans="1:53" s="1644" customFormat="1" ht="1.05" customHeight="1">
      <c r="A59" s="1345" t="s">
        <v>200</v>
      </c>
      <c s="1345" t="s">
        <v>201</v>
      </c>
      <c s="1316"/>
      <c s="1316"/>
      <c s="2261"/>
      <c s="2260"/>
      <c s="1316"/>
      <c s="1316"/>
      <c s="1316"/>
      <c s="1316"/>
      <c s="1316"/>
      <c s="1341"/>
      <c s="1323"/>
      <c s="1323"/>
      <c r="P59" s="1318"/>
      <c s="1319"/>
      <c s="1318"/>
      <c s="1324"/>
      <c s="1327" t="s">
        <v>415</v>
      </c>
      <c s="1326"/>
      <c s="1326"/>
      <c s="1326"/>
      <c s="1326"/>
      <c s="1326"/>
      <c s="1326"/>
      <c s="1326"/>
      <c s="1326"/>
      <c s="1326"/>
      <c s="1326"/>
      <c s="1326"/>
      <c s="1326"/>
      <c s="1326"/>
      <c s="1326"/>
      <c s="1326"/>
      <c s="1326"/>
      <c s="1326"/>
      <c s="1326"/>
      <c s="1326"/>
      <c s="1326"/>
      <c s="1326"/>
      <c s="1326"/>
      <c s="1326"/>
      <c s="1326"/>
      <c s="1326"/>
      <c s="1326"/>
      <c s="1326"/>
      <c r="AW59" s="791"/>
      <c s="791" t="str">
        <f>IF(T59="","",T59)</f>
        <v>Добавить централизованную систему для дифференциации</v>
      </c>
      <c s="791"/>
      <c s="791"/>
      <c s="520">
        <v>1</v>
      </c>
    </row>
    <row r="60" spans="1:53" s="1644" customFormat="1" ht="1.05" customHeight="1">
      <c r="A60" s="1345" t="s">
        <v>200</v>
      </c>
      <c s="1345"/>
      <c s="1345"/>
      <c s="1345"/>
      <c s="2261"/>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r="AW60" s="502"/>
      <c s="502" t="str">
        <f>IF(T60="","",T60)</f>
        <v>Добавить территорию для дифференциации</v>
      </c>
      <c s="502"/>
      <c s="502"/>
      <c s="513">
        <v>1</v>
      </c>
    </row>
    <row r="61" spans="1:53" s="1644" customFormat="1" ht="1.05" customHeight="1">
      <c r="A61" s="1345" t="s">
        <v>200</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r="AW61" s="502"/>
      <c s="502" t="str">
        <f>IF(T61="","",T61)</f>
        <v>Добавить территорию для дифференциации</v>
      </c>
      <c s="502"/>
      <c s="502"/>
      <c s="513">
        <v>1</v>
      </c>
    </row>
    <row r="62" spans="1:53" s="1644" customFormat="1" ht="1.05" customHeight="1">
      <c r="A62" s="1316"/>
      <c s="1316"/>
      <c s="1316"/>
      <c s="1316"/>
      <c s="1345"/>
      <c s="1316"/>
      <c s="1316"/>
      <c s="1316"/>
      <c s="1316"/>
      <c s="1316"/>
      <c s="1316"/>
      <c s="1341"/>
      <c s="1323"/>
      <c s="1323"/>
      <c r="P62" s="1318"/>
      <c s="1319"/>
      <c s="1318"/>
      <c s="1324"/>
      <c s="1327" t="s">
        <v>448</v>
      </c>
      <c s="1326"/>
      <c s="1326"/>
      <c s="1326"/>
      <c s="1326"/>
      <c s="1326"/>
      <c s="1326"/>
      <c s="1326"/>
      <c s="1326"/>
      <c s="1326"/>
      <c s="1326"/>
      <c s="1326"/>
      <c s="1326"/>
      <c s="1326"/>
      <c s="1326"/>
      <c s="1326"/>
      <c s="1326"/>
      <c s="1326"/>
      <c s="1326"/>
      <c s="1326"/>
      <c s="1326"/>
      <c s="1326"/>
      <c s="1326"/>
      <c s="1326"/>
      <c s="1326"/>
      <c s="1326"/>
      <c s="1326"/>
      <c s="1326"/>
      <c r="AW62" s="791"/>
      <c s="791" t="str">
        <f>IF(T62="","",T62)</f>
        <v>Добавить наименование тарифа</v>
      </c>
      <c s="791"/>
      <c s="791"/>
      <c s="520">
        <v>1</v>
      </c>
    </row>
    <row r="63" spans="13:53" ht="11.55" customHeight="1">
      <c r="M63" s="1162"/>
      <c s="1162"/>
      <c s="539"/>
      <c s="1162"/>
      <c s="1162"/>
      <c s="1157"/>
      <c s="1157"/>
      <c r="AV63" s="1157"/>
      <c s="1157"/>
      <c s="1157"/>
      <c s="1157"/>
      <c s="1157"/>
      <c s="1157">
        <v>11</v>
      </c>
    </row>
    <row r="64" spans="15:53" ht="19.95" customHeight="1">
      <c r="O64" s="539"/>
      <c r="S64" s="1255"/>
      <c s="2287"/>
      <c s="2287"/>
      <c s="2287"/>
      <c s="2287"/>
      <c s="2287"/>
      <c s="2287"/>
      <c s="2287"/>
      <c s="2287"/>
      <c s="2287"/>
      <c s="2287"/>
      <c s="2287"/>
      <c s="2287"/>
      <c s="2287"/>
      <c s="2287"/>
      <c s="2287"/>
      <c s="2287"/>
      <c s="2287"/>
      <c s="2287"/>
      <c s="2287"/>
      <c s="2287"/>
      <c s="2287"/>
      <c s="2287"/>
      <c s="2287"/>
      <c s="2287"/>
      <c s="2287"/>
      <c s="2287"/>
      <c s="2287"/>
      <c s="2287"/>
      <c r="BA64" s="1157">
        <v>19</v>
      </c>
    </row>
    <row r="65" spans="15:53" ht="21" customHeight="1">
      <c r="O65" s="539"/>
      <c r="T65" s="2287"/>
      <c s="2287"/>
      <c s="2287"/>
      <c s="2287"/>
      <c s="2287"/>
      <c s="2287"/>
      <c s="2287"/>
      <c s="2287"/>
      <c s="2287"/>
      <c s="2287"/>
      <c s="2287"/>
      <c s="2287"/>
      <c s="2287"/>
      <c s="2287"/>
      <c s="2287"/>
      <c s="2287"/>
      <c s="2287"/>
      <c s="2287"/>
      <c s="2287"/>
      <c s="2287"/>
      <c s="2287"/>
      <c s="2287"/>
      <c s="2287"/>
      <c s="2287"/>
      <c s="2287"/>
      <c s="2287"/>
      <c s="2287"/>
      <c s="2287"/>
      <c r="BA65" s="1157">
        <v>20</v>
      </c>
    </row>
    <row r="66" spans="15:53" ht="14.7" customHeight="1">
      <c r="O66" s="539"/>
      <c r="T66" s="1335"/>
      <c s="1335"/>
      <c s="1335"/>
      <c s="1335"/>
      <c s="1335"/>
      <c s="1335"/>
      <c s="1335"/>
      <c s="1335"/>
      <c s="1335"/>
      <c s="1335"/>
      <c s="1335"/>
      <c s="1335"/>
      <c s="1335"/>
      <c s="1335"/>
      <c s="1335"/>
      <c s="1335"/>
      <c s="1335"/>
      <c s="1335"/>
      <c s="1335"/>
      <c s="1335"/>
      <c s="1335"/>
      <c s="1335"/>
      <c s="1335"/>
      <c s="1335"/>
      <c s="1335"/>
      <c s="1335"/>
      <c s="1335"/>
      <c s="1335"/>
      <c r="BA66" s="1157">
        <v>14</v>
      </c>
    </row>
    <row r="67" spans="15:53" ht="19.95" customHeight="1">
      <c r="O67" s="539"/>
      <c r="T67" s="2287"/>
      <c s="2287"/>
      <c s="2287"/>
      <c s="2287"/>
      <c s="2287"/>
      <c s="2287"/>
      <c s="2287"/>
      <c s="2287"/>
      <c s="2287"/>
      <c s="2287"/>
      <c s="2287"/>
      <c s="2287"/>
      <c s="2287"/>
      <c s="2287"/>
      <c s="2287"/>
      <c s="2287"/>
      <c s="2287"/>
      <c s="2287"/>
      <c s="2287"/>
      <c s="2287"/>
      <c s="2287"/>
      <c s="2287"/>
      <c s="2287"/>
      <c s="2287"/>
      <c s="2287"/>
      <c s="2287"/>
      <c s="2287"/>
      <c s="2287"/>
      <c r="BA67" s="1157">
        <v>19</v>
      </c>
    </row>
    <row r="68" spans="15:53" ht="16.8" customHeight="1">
      <c r="O68" s="539"/>
      <c r="T68" s="2287"/>
      <c s="2287"/>
      <c s="2287"/>
      <c s="2287"/>
      <c s="2287"/>
      <c s="2287"/>
      <c s="2287"/>
      <c s="2287"/>
      <c s="2287"/>
      <c s="2287"/>
      <c s="2287"/>
      <c s="2287"/>
      <c s="2287"/>
      <c s="2287"/>
      <c s="2287"/>
      <c s="2287"/>
      <c s="2287"/>
      <c s="2287"/>
      <c s="2287"/>
      <c s="2287"/>
      <c s="2287"/>
      <c s="2287"/>
      <c s="2287"/>
      <c s="2287"/>
      <c s="2287"/>
      <c s="2287"/>
      <c s="2287"/>
      <c s="2287"/>
      <c r="BA68" s="1157">
        <v>16</v>
      </c>
    </row>
    <row r="69" spans="15:15 53:53" ht="14.7" customHeight="1">
      <c r="O69" s="539"/>
      <c r="BA69" s="1157">
        <v>14</v>
      </c>
    </row>
    <row r="70" spans="1:53" ht="22.5" customHeight="1" hidden="1">
      <c r="A70" s="1162" t="s">
        <v>81</v>
      </c>
      <c s="1162">
        <v>0</v>
      </c>
      <c s="1162">
        <v>0</v>
      </c>
      <c s="1162">
        <v>0</v>
      </c>
      <c s="1162">
        <v>0</v>
      </c>
      <c s="1162">
        <v>0</v>
      </c>
      <c s="1162">
        <v>0</v>
      </c>
      <c s="1162">
        <v>0</v>
      </c>
      <c s="1162">
        <v>0</v>
      </c>
      <c s="1162">
        <v>0</v>
      </c>
      <c s="1162">
        <v>0</v>
      </c>
      <c s="1331">
        <v>0</v>
      </c>
      <c s="1364">
        <v>0</v>
      </c>
      <c s="1364">
        <v>0</v>
      </c>
      <c s="1364">
        <v>0</v>
      </c>
      <c s="1364">
        <v>3</v>
      </c>
      <c s="1373">
        <v>3</v>
      </c>
      <c s="346">
        <v>3</v>
      </c>
      <c s="583">
        <v>12</v>
      </c>
      <c s="1157">
        <v>31</v>
      </c>
      <c s="1157">
        <v>0</v>
      </c>
      <c s="1157">
        <v>0</v>
      </c>
      <c s="1157">
        <v>0</v>
      </c>
      <c s="1157">
        <v>0</v>
      </c>
      <c s="1157">
        <v>0</v>
      </c>
      <c s="1157">
        <v>0</v>
      </c>
      <c s="1157">
        <v>0</v>
      </c>
      <c s="1157">
        <v>5</v>
      </c>
      <c s="1157">
        <v>3</v>
      </c>
      <c s="1157">
        <v>3</v>
      </c>
      <c s="1157">
        <v>24</v>
      </c>
      <c s="1157">
        <v>3</v>
      </c>
      <c s="1157">
        <v>3</v>
      </c>
      <c s="1157">
        <v>3</v>
      </c>
      <c s="1157">
        <v>24</v>
      </c>
      <c s="1157">
        <v>3</v>
      </c>
      <c s="1157">
        <v>3</v>
      </c>
      <c s="1157">
        <v>3</v>
      </c>
      <c s="1157">
        <v>18</v>
      </c>
      <c s="1157">
        <v>21</v>
      </c>
      <c s="1157">
        <v>21</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387379E-597B-8266-D1EA-0.10596FAB}"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27">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25"/>
      <c s="354"/>
      <c s="355"/>
      <c s="1427">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27">
        <f>INDEX(PT_DIFFERENTIATION_NUM_CS,MATCH(C4,PT_DIFFERENTIATION_CS_ID,0))</f>
      </c>
      <c s="311" t="s">
        <v>481</v>
      </c>
      <c s="302"/>
      <c s="2244"/>
      <c s="2245"/>
      <c s="2245"/>
      <c s="2245"/>
      <c s="2245"/>
      <c s="2245"/>
      <c s="2246"/>
      <c s="2244">
        <f>INDEX(PT_DIFFERENTIATION_CS,MATCH(C4,PT_DIFFERENTIATION_CS_ID,0))</f>
      </c>
      <c s="2245"/>
      <c s="2245"/>
      <c s="2245"/>
      <c s="2245"/>
      <c s="2245"/>
      <c s="2245"/>
      <c s="2246"/>
      <c s="1260" t="s">
        <v>482</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24"/>
      <c s="358"/>
      <c s="1427">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27">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27">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26"/>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24"/>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14.25"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28"/>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23"/>
      <c s="1364"/>
      <c s="1364"/>
      <c s="1369" t="s">
        <v>417</v>
      </c>
      <c s="1364"/>
      <c s="1373"/>
      <c s="1373"/>
      <c s="731"/>
      <c r="Y18" s="1369"/>
      <c r="AA18" s="1369"/>
      <c s="1368"/>
      <c r="AF18" s="1369"/>
      <c r="AH18" s="1369"/>
      <c s="1368"/>
      <c r="AL18" s="513"/>
      <c s="513"/>
      <c s="513"/>
      <c s="513"/>
      <c s="513"/>
      <c s="1162">
        <v>0</v>
      </c>
    </row>
    <row r="19" spans="12:43" s="1368" customFormat="1" ht="14.25" customHeight="1" hidden="1">
      <c r="L19" s="1423"/>
      <c s="1364"/>
      <c s="1364"/>
      <c s="1364"/>
      <c s="1364"/>
      <c s="1373"/>
      <c s="1373"/>
      <c s="731"/>
      <c r="AB19" s="1368"/>
      <c r="AI19" s="1368"/>
      <c r="AL19" s="513"/>
      <c s="513"/>
      <c s="513"/>
      <c s="513"/>
      <c s="513"/>
      <c s="1162">
        <v>0</v>
      </c>
    </row>
    <row r="20" spans="12:43" s="1368" customFormat="1" ht="12" customHeight="1" hidden="1">
      <c r="L20" s="1423"/>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357"/>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354" t="s">
        <v>489</v>
      </c>
      <c s="2264" t="s">
        <v>435</v>
      </c>
      <c s="2265"/>
      <c s="2264" t="s">
        <v>436</v>
      </c>
      <c s="2271"/>
      <c s="2265"/>
      <c s="2280"/>
      <c s="1354" t="s">
        <v>489</v>
      </c>
      <c s="2264" t="s">
        <v>435</v>
      </c>
      <c s="2265"/>
      <c s="2264" t="s">
        <v>436</v>
      </c>
      <c s="2271"/>
      <c s="2265"/>
      <c s="2280"/>
      <c s="2283"/>
      <c s="2129"/>
      <c r="AQ38" s="1157">
        <v>34</v>
      </c>
    </row>
    <row r="39" spans="1:43" ht="35.7" customHeight="1">
      <c r="A39" s="1372"/>
      <c s="1372" t="s">
        <v>137</v>
      </c>
      <c s="1372" t="s">
        <v>138</v>
      </c>
      <c s="1372" t="s">
        <v>139</v>
      </c>
      <c s="1366" t="s">
        <v>437</v>
      </c>
      <c s="1366" t="s">
        <v>438</v>
      </c>
      <c s="1366" t="s">
        <v>439</v>
      </c>
      <c s="1366"/>
      <c s="1366" t="s">
        <v>490</v>
      </c>
      <c s="1366" t="s">
        <v>442</v>
      </c>
      <c s="1366" t="s">
        <v>491</v>
      </c>
      <c s="1366" t="s">
        <v>418</v>
      </c>
      <c r="Q39" s="378"/>
      <c s="378"/>
      <c s="2275"/>
      <c s="2211"/>
      <c s="304"/>
      <c s="1354" t="s">
        <v>492</v>
      </c>
      <c s="1224" t="s">
        <v>493</v>
      </c>
      <c s="1224" t="s">
        <v>494</v>
      </c>
      <c s="1359" t="s">
        <v>446</v>
      </c>
      <c s="2272" t="s">
        <v>447</v>
      </c>
      <c s="2273"/>
      <c s="2281"/>
      <c s="1354" t="s">
        <v>492</v>
      </c>
      <c s="1224" t="s">
        <v>493</v>
      </c>
      <c s="1224" t="s">
        <v>494</v>
      </c>
      <c s="1359" t="s">
        <v>446</v>
      </c>
      <c s="2272" t="s">
        <v>447</v>
      </c>
      <c s="2273"/>
      <c s="2281"/>
      <c s="2284"/>
      <c s="2129"/>
      <c r="AQ39" s="1157">
        <v>34</v>
      </c>
    </row>
    <row r="40" spans="1:43" s="1643" customFormat="1" ht="11.25" customHeight="1" hidden="1">
      <c r="A40" s="1372"/>
      <c s="1372"/>
      <c s="1372"/>
      <c s="1372"/>
      <c s="1372"/>
      <c s="1372"/>
      <c s="1372"/>
      <c s="1372"/>
      <c s="1372"/>
      <c s="1372"/>
      <c s="1372"/>
      <c s="1366"/>
      <c s="1364"/>
      <c s="1364"/>
      <c s="1364"/>
      <c s="1248"/>
      <c s="1249"/>
      <c s="1256">
        <v>1</v>
      </c>
      <c s="1279" t="s">
        <v>109</v>
      </c>
      <c s="1257" t="s">
        <v>110</v>
      </c>
      <c s="1247" t="str">
        <f ca="1">OFFSET(U40,0,-1)</f>
        <v>2</v>
      </c>
      <c s="1355">
        <f ca="1">OFFSET(V40,0,-1)+1</f>
        <v>3</v>
      </c>
      <c s="1355">
        <f ca="1">OFFSET(W40,0,-1)+1</f>
        <v>4</v>
      </c>
      <c s="1355">
        <f ca="1">OFFSET(X40,0,-1)+1</f>
        <v>5</v>
      </c>
      <c s="1355">
        <f ca="1">OFFSET(Y40,0,-1)+1</f>
        <v>6</v>
      </c>
      <c s="2274">
        <f ca="1">OFFSET(Z40,0,-1)+1</f>
        <v>7</v>
      </c>
      <c s="2274"/>
      <c s="1355">
        <f ca="1">OFFSET(AB40,0,-2)+1</f>
        <v>8</v>
      </c>
      <c s="1355">
        <f ca="1">OFFSET(AC40,0,-1)+1</f>
        <v>9</v>
      </c>
      <c s="1355">
        <f ca="1">OFFSET(AD40,0,-1)+1</f>
        <v>10</v>
      </c>
      <c s="1355">
        <f ca="1">OFFSET(AE40,0,-1)+1</f>
        <v>11</v>
      </c>
      <c s="1355">
        <f ca="1">OFFSET(AF40,0,-1)+1</f>
        <v>12</v>
      </c>
      <c s="2274">
        <f ca="1">OFFSET(AG40,0,-1)+1</f>
        <v>13</v>
      </c>
      <c s="2274"/>
      <c s="1355">
        <f ca="1">OFFSET(AI40,0,-2)+1</f>
        <v>14</v>
      </c>
      <c s="1247">
        <f ca="1">OFFSET(AJ40,0,-1)</f>
        <v>14</v>
      </c>
      <c s="1355">
        <f ca="1">OFFSET(AK40,0,-1)+1</f>
        <v>15</v>
      </c>
      <c s="513"/>
      <c s="513"/>
      <c s="513"/>
      <c s="513"/>
      <c s="513"/>
      <c s="498">
        <v>0</v>
      </c>
    </row>
    <row r="41" spans="1:43" ht="24" customHeight="1">
      <c r="A41" s="1365" t="s">
        <v>226</v>
      </c>
      <c s="1365"/>
      <c s="1365"/>
      <c s="1365"/>
      <c s="2260">
        <v>1</v>
      </c>
      <c s="1365"/>
      <c s="1365"/>
      <c s="1365"/>
      <c s="1365"/>
      <c s="1365"/>
      <c s="1365"/>
      <c s="1366"/>
      <c s="1367"/>
      <c s="1367"/>
      <c s="1367"/>
      <c s="363"/>
      <c s="362"/>
      <c s="357"/>
      <c s="1360">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226</v>
      </c>
      <c s="1365" t="s">
        <v>227</v>
      </c>
      <c s="1365"/>
      <c s="1365"/>
      <c s="2261"/>
      <c s="2260">
        <v>1</v>
      </c>
      <c s="1365"/>
      <c s="1365"/>
      <c s="1365"/>
      <c s="1365"/>
      <c s="1365"/>
      <c s="1366"/>
      <c s="1367"/>
      <c s="1367"/>
      <c s="1367"/>
      <c s="1358"/>
      <c s="354"/>
      <c s="355"/>
      <c s="1360"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226</v>
      </c>
      <c s="1365" t="s">
        <v>227</v>
      </c>
      <c s="1365" t="s">
        <v>228</v>
      </c>
      <c s="1365"/>
      <c s="2261"/>
      <c s="2261"/>
      <c s="2260">
        <v>1</v>
      </c>
      <c s="1365"/>
      <c s="1365"/>
      <c s="1365"/>
      <c s="1365"/>
      <c s="1366"/>
      <c s="1367"/>
      <c s="1367"/>
      <c s="1367"/>
      <c s="356"/>
      <c s="354"/>
      <c s="355"/>
      <c s="1360" t="str">
        <f>INDEX(PT_DIFFERENTIATION_NUM_CS,MATCH(C43,PT_DIFFERENTIATION_CS_ID,0))</f>
        <v>..</v>
      </c>
      <c s="311" t="s">
        <v>481</v>
      </c>
      <c s="302"/>
      <c s="2244"/>
      <c s="2245"/>
      <c s="2245"/>
      <c s="2245"/>
      <c s="2245"/>
      <c s="2245"/>
      <c s="2246"/>
      <c s="2244" t="str">
        <f>INDEX(PT_DIFFERENTIATION_CS,MATCH(C43,PT_DIFFERENTIATION_CS_ID,0))</f>
        <v/>
      </c>
      <c s="2245"/>
      <c s="2245"/>
      <c s="2245"/>
      <c s="2245"/>
      <c s="2245"/>
      <c s="2245"/>
      <c s="2246"/>
      <c s="1260" t="s">
        <v>482</v>
      </c>
      <c r="AM43" s="502"/>
      <c s="502" t="str">
        <f>IF(T43="","",T43)</f>
        <v>Наименование централизованной системы холодного водоснабжения</v>
      </c>
      <c s="502"/>
      <c s="502"/>
      <c s="1157">
        <v>23</v>
      </c>
    </row>
    <row r="44" spans="1:43" ht="24" customHeight="1">
      <c r="A44" s="1365" t="s">
        <v>226</v>
      </c>
      <c s="1365" t="s">
        <v>227</v>
      </c>
      <c s="1365" t="s">
        <v>228</v>
      </c>
      <c s="1365" t="s">
        <v>495</v>
      </c>
      <c s="2261"/>
      <c s="2261"/>
      <c s="2261"/>
      <c s="2261"/>
      <c s="2258" t="str">
        <f>S43&amp;".1"</f>
        <v>...1</v>
      </c>
      <c s="1365"/>
      <c s="1365"/>
      <c s="1366"/>
      <c r="P44" s="2259">
        <v>1</v>
      </c>
      <c s="1356"/>
      <c s="358"/>
      <c s="1360"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226</v>
      </c>
      <c s="1365" t="s">
        <v>227</v>
      </c>
      <c s="1365" t="s">
        <v>228</v>
      </c>
      <c s="1365" t="s">
        <v>495</v>
      </c>
      <c s="2261"/>
      <c s="2261"/>
      <c s="2261"/>
      <c s="2261"/>
      <c s="2288"/>
      <c s="2258" t="str">
        <f>I44&amp;".1"</f>
        <v>...1.1</v>
      </c>
      <c s="1365"/>
      <c s="1366" t="s">
        <v>406</v>
      </c>
      <c r="P45" s="2259"/>
      <c s="2259">
        <v>1</v>
      </c>
      <c s="359"/>
      <c s="1360"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226</v>
      </c>
      <c s="1365" t="s">
        <v>227</v>
      </c>
      <c s="1365" t="s">
        <v>228</v>
      </c>
      <c s="1365" t="s">
        <v>495</v>
      </c>
      <c s="2261"/>
      <c s="2261"/>
      <c s="2261"/>
      <c s="2261"/>
      <c s="2288"/>
      <c s="2288"/>
      <c s="2258" t="str">
        <f>J45&amp;".1"</f>
        <v>...1.1.1</v>
      </c>
      <c s="1366"/>
      <c r="P46" s="2259"/>
      <c s="2259"/>
      <c s="359">
        <v>1</v>
      </c>
      <c s="1360"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226</v>
      </c>
      <c s="1365" t="s">
        <v>227</v>
      </c>
      <c s="1365" t="s">
        <v>228</v>
      </c>
      <c s="1365" t="s">
        <v>495</v>
      </c>
      <c s="2261"/>
      <c s="2261"/>
      <c s="2261"/>
      <c s="2261"/>
      <c s="2288"/>
      <c s="2288"/>
      <c s="2258"/>
      <c s="1366"/>
      <c r="P47" s="2259"/>
      <c s="2259"/>
      <c s="359"/>
      <c s="1361"/>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226</v>
      </c>
      <c s="1365" t="s">
        <v>227</v>
      </c>
      <c s="1365" t="s">
        <v>228</v>
      </c>
      <c s="1365" t="s">
        <v>495</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226</v>
      </c>
      <c s="1365" t="s">
        <v>227</v>
      </c>
      <c s="1365" t="s">
        <v>228</v>
      </c>
      <c s="1365" t="s">
        <v>495</v>
      </c>
      <c s="2261"/>
      <c s="2261"/>
      <c s="2261"/>
      <c s="2261"/>
      <c s="2258"/>
      <c s="1365"/>
      <c s="1365"/>
      <c s="1366"/>
      <c r="P49" s="2259"/>
      <c s="1356"/>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226</v>
      </c>
      <c s="1365" t="s">
        <v>227</v>
      </c>
      <c s="1365" t="s">
        <v>228</v>
      </c>
      <c s="1365" t="s">
        <v>495</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226</v>
      </c>
      <c s="1345" t="s">
        <v>227</v>
      </c>
      <c s="1316"/>
      <c s="1316"/>
      <c s="2261"/>
      <c s="2260"/>
      <c s="1316"/>
      <c s="1316"/>
      <c s="1316"/>
      <c s="1316"/>
      <c s="1316"/>
      <c s="1428"/>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226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28"/>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23">
        <v>0</v>
      </c>
      <c s="1364">
        <v>0</v>
      </c>
      <c s="1364">
        <v>0</v>
      </c>
      <c s="1364">
        <v>0</v>
      </c>
      <c s="1353">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1EA7B51-F64A-89CB-C3C3-0.0506EF4E}"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481</v>
      </c>
      <c s="302"/>
      <c s="2244"/>
      <c s="2245"/>
      <c s="2245"/>
      <c s="2245"/>
      <c s="2245"/>
      <c s="2245"/>
      <c s="2246"/>
      <c s="2244">
        <f>INDEX(PT_DIFFERENTIATION_CS,MATCH(C4,PT_DIFFERENTIATION_CS_ID,0))</f>
      </c>
      <c s="2245"/>
      <c s="2245"/>
      <c s="2245"/>
      <c s="2245"/>
      <c s="2245"/>
      <c s="2245"/>
      <c s="2246"/>
      <c s="1260" t="s">
        <v>482</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59">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417</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454" t="s">
        <v>489</v>
      </c>
      <c s="2264" t="s">
        <v>435</v>
      </c>
      <c s="2265"/>
      <c s="2264" t="s">
        <v>436</v>
      </c>
      <c s="2271"/>
      <c s="2265"/>
      <c s="2280"/>
      <c s="1454" t="s">
        <v>489</v>
      </c>
      <c s="2264" t="s">
        <v>435</v>
      </c>
      <c s="2265"/>
      <c s="2264" t="s">
        <v>436</v>
      </c>
      <c s="2271"/>
      <c s="2265"/>
      <c s="2280"/>
      <c s="2283"/>
      <c s="2129"/>
      <c r="AQ38" s="1157">
        <v>34</v>
      </c>
    </row>
    <row r="39" spans="1:43" ht="35.7" customHeight="1">
      <c r="A39" s="1372"/>
      <c s="1372" t="s">
        <v>137</v>
      </c>
      <c s="1372" t="s">
        <v>138</v>
      </c>
      <c s="1372" t="s">
        <v>139</v>
      </c>
      <c s="1366" t="s">
        <v>437</v>
      </c>
      <c s="1366" t="s">
        <v>438</v>
      </c>
      <c s="1366" t="s">
        <v>439</v>
      </c>
      <c s="1366"/>
      <c s="1366" t="s">
        <v>490</v>
      </c>
      <c s="1366" t="s">
        <v>442</v>
      </c>
      <c s="1366" t="s">
        <v>491</v>
      </c>
      <c s="1366" t="s">
        <v>418</v>
      </c>
      <c r="Q39" s="378"/>
      <c s="378"/>
      <c s="2275"/>
      <c s="2211"/>
      <c s="304"/>
      <c s="1454" t="s">
        <v>492</v>
      </c>
      <c s="1224" t="s">
        <v>493</v>
      </c>
      <c s="1224" t="s">
        <v>494</v>
      </c>
      <c s="1457" t="s">
        <v>446</v>
      </c>
      <c s="2272" t="s">
        <v>447</v>
      </c>
      <c s="2273"/>
      <c s="2281"/>
      <c s="1454" t="s">
        <v>492</v>
      </c>
      <c s="1224" t="s">
        <v>493</v>
      </c>
      <c s="1224" t="s">
        <v>494</v>
      </c>
      <c s="1457" t="s">
        <v>446</v>
      </c>
      <c s="2272" t="s">
        <v>447</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109</v>
      </c>
      <c s="1257" t="s">
        <v>110</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231</v>
      </c>
      <c s="1365"/>
      <c s="1365"/>
      <c s="1365"/>
      <c s="2260">
        <v>1</v>
      </c>
      <c s="1365"/>
      <c s="1365"/>
      <c s="1365"/>
      <c s="1365"/>
      <c s="1365"/>
      <c s="1365"/>
      <c s="1366"/>
      <c s="1367"/>
      <c s="1367"/>
      <c s="1367"/>
      <c s="363"/>
      <c s="362"/>
      <c s="357"/>
      <c s="1459">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231</v>
      </c>
      <c s="1365" t="s">
        <v>232</v>
      </c>
      <c s="1365"/>
      <c s="1365"/>
      <c s="2261"/>
      <c s="2260">
        <v>1</v>
      </c>
      <c s="1365"/>
      <c s="1365"/>
      <c s="1365"/>
      <c s="1365"/>
      <c s="1365"/>
      <c s="1366"/>
      <c s="1367"/>
      <c s="1367"/>
      <c s="1367"/>
      <c s="1455"/>
      <c s="354"/>
      <c s="355"/>
      <c s="1459"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231</v>
      </c>
      <c s="1365" t="s">
        <v>232</v>
      </c>
      <c s="1365" t="s">
        <v>233</v>
      </c>
      <c s="1365"/>
      <c s="2261"/>
      <c s="2261"/>
      <c s="2260">
        <v>1</v>
      </c>
      <c s="1365"/>
      <c s="1365"/>
      <c s="1365"/>
      <c s="1365"/>
      <c s="1366"/>
      <c s="1367"/>
      <c s="1367"/>
      <c s="1367"/>
      <c s="356"/>
      <c s="354"/>
      <c s="355"/>
      <c s="1459" t="str">
        <f>INDEX(PT_DIFFERENTIATION_NUM_CS,MATCH(C43,PT_DIFFERENTIATION_CS_ID,0))</f>
        <v>..</v>
      </c>
      <c s="311" t="s">
        <v>481</v>
      </c>
      <c s="302"/>
      <c s="2244"/>
      <c s="2245"/>
      <c s="2245"/>
      <c s="2245"/>
      <c s="2245"/>
      <c s="2245"/>
      <c s="2246"/>
      <c s="2244" t="str">
        <f>INDEX(PT_DIFFERENTIATION_CS,MATCH(C43,PT_DIFFERENTIATION_CS_ID,0))</f>
        <v/>
      </c>
      <c s="2245"/>
      <c s="2245"/>
      <c s="2245"/>
      <c s="2245"/>
      <c s="2245"/>
      <c s="2245"/>
      <c s="2246"/>
      <c s="1260" t="s">
        <v>482</v>
      </c>
      <c r="AM43" s="502"/>
      <c s="502" t="str">
        <f>IF(T43="","",T43)</f>
        <v>Наименование централизованной системы холодного водоснабжения</v>
      </c>
      <c s="502"/>
      <c s="502"/>
      <c s="1157">
        <v>23</v>
      </c>
    </row>
    <row r="44" spans="1:43" ht="24" customHeight="1">
      <c r="A44" s="1365" t="s">
        <v>231</v>
      </c>
      <c s="1365" t="s">
        <v>232</v>
      </c>
      <c s="1365" t="s">
        <v>233</v>
      </c>
      <c s="1365" t="s">
        <v>496</v>
      </c>
      <c s="2261"/>
      <c s="2261"/>
      <c s="2261"/>
      <c s="2261"/>
      <c s="2258" t="str">
        <f>S43&amp;".1"</f>
        <v>...1</v>
      </c>
      <c s="1365"/>
      <c s="1365"/>
      <c s="1366"/>
      <c r="P44" s="2259">
        <v>1</v>
      </c>
      <c s="1452"/>
      <c s="358"/>
      <c s="1459"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231</v>
      </c>
      <c s="1365" t="s">
        <v>232</v>
      </c>
      <c s="1365" t="s">
        <v>233</v>
      </c>
      <c s="1365" t="s">
        <v>496</v>
      </c>
      <c s="2261"/>
      <c s="2261"/>
      <c s="2261"/>
      <c s="2261"/>
      <c s="2288"/>
      <c s="2258" t="str">
        <f>I44&amp;".1"</f>
        <v>...1.1</v>
      </c>
      <c s="1365"/>
      <c s="1366" t="s">
        <v>406</v>
      </c>
      <c r="P45" s="2259"/>
      <c s="2259">
        <v>1</v>
      </c>
      <c s="359"/>
      <c s="1459"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231</v>
      </c>
      <c s="1365" t="s">
        <v>232</v>
      </c>
      <c s="1365" t="s">
        <v>233</v>
      </c>
      <c s="1365" t="s">
        <v>496</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231</v>
      </c>
      <c s="1365" t="s">
        <v>232</v>
      </c>
      <c s="1365" t="s">
        <v>233</v>
      </c>
      <c s="1365" t="s">
        <v>496</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231</v>
      </c>
      <c s="1365" t="s">
        <v>232</v>
      </c>
      <c s="1365" t="s">
        <v>233</v>
      </c>
      <c s="1365" t="s">
        <v>496</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231</v>
      </c>
      <c s="1365" t="s">
        <v>232</v>
      </c>
      <c s="1365" t="s">
        <v>233</v>
      </c>
      <c s="1365" t="s">
        <v>496</v>
      </c>
      <c s="2261"/>
      <c s="2261"/>
      <c s="2261"/>
      <c s="2261"/>
      <c s="2258"/>
      <c s="1365"/>
      <c s="1365"/>
      <c s="1366"/>
      <c r="P49" s="2259"/>
      <c s="1452"/>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231</v>
      </c>
      <c s="1365" t="s">
        <v>232</v>
      </c>
      <c s="1365" t="s">
        <v>233</v>
      </c>
      <c s="1365" t="s">
        <v>496</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231</v>
      </c>
      <c s="1345" t="s">
        <v>232</v>
      </c>
      <c s="1316"/>
      <c s="1316"/>
      <c s="2261"/>
      <c s="2260"/>
      <c s="1316"/>
      <c s="1316"/>
      <c s="1316"/>
      <c s="1316"/>
      <c s="1316"/>
      <c s="1460"/>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231</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167CE5-9C62-EC56-517C-0.33F675EB}"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481</v>
      </c>
      <c s="302"/>
      <c s="2244"/>
      <c s="2245"/>
      <c s="2245"/>
      <c s="2245"/>
      <c s="2245"/>
      <c s="2245"/>
      <c s="2246"/>
      <c s="2244">
        <f>INDEX(PT_DIFFERENTIATION_CS,MATCH(C4,PT_DIFFERENTIATION_CS_ID,0))</f>
      </c>
      <c s="2245"/>
      <c s="2245"/>
      <c s="2245"/>
      <c s="2245"/>
      <c s="2245"/>
      <c s="2245"/>
      <c s="2246"/>
      <c s="1260" t="s">
        <v>482</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59">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417</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454" t="s">
        <v>489</v>
      </c>
      <c s="2264" t="s">
        <v>435</v>
      </c>
      <c s="2265"/>
      <c s="2264" t="s">
        <v>436</v>
      </c>
      <c s="2271"/>
      <c s="2265"/>
      <c s="2280"/>
      <c s="1454" t="s">
        <v>489</v>
      </c>
      <c s="2264" t="s">
        <v>435</v>
      </c>
      <c s="2265"/>
      <c s="2264" t="s">
        <v>436</v>
      </c>
      <c s="2271"/>
      <c s="2265"/>
      <c s="2280"/>
      <c s="2283"/>
      <c s="2129"/>
      <c r="AQ38" s="1157">
        <v>34</v>
      </c>
    </row>
    <row r="39" spans="1:43" ht="35.7" customHeight="1">
      <c r="A39" s="1372"/>
      <c s="1372" t="s">
        <v>137</v>
      </c>
      <c s="1372" t="s">
        <v>138</v>
      </c>
      <c s="1372" t="s">
        <v>139</v>
      </c>
      <c s="1366" t="s">
        <v>437</v>
      </c>
      <c s="1366" t="s">
        <v>438</v>
      </c>
      <c s="1366" t="s">
        <v>439</v>
      </c>
      <c s="1366"/>
      <c s="1366" t="s">
        <v>490</v>
      </c>
      <c s="1366" t="s">
        <v>442</v>
      </c>
      <c s="1366" t="s">
        <v>491</v>
      </c>
      <c s="1366" t="s">
        <v>418</v>
      </c>
      <c r="Q39" s="378"/>
      <c s="378"/>
      <c s="2275"/>
      <c s="2211"/>
      <c s="304"/>
      <c s="1454" t="s">
        <v>492</v>
      </c>
      <c s="1224" t="s">
        <v>493</v>
      </c>
      <c s="1224" t="s">
        <v>494</v>
      </c>
      <c s="1457" t="s">
        <v>446</v>
      </c>
      <c s="2272" t="s">
        <v>447</v>
      </c>
      <c s="2273"/>
      <c s="2281"/>
      <c s="1454" t="s">
        <v>492</v>
      </c>
      <c s="1224" t="s">
        <v>493</v>
      </c>
      <c s="1224" t="s">
        <v>494</v>
      </c>
      <c s="1457" t="s">
        <v>446</v>
      </c>
      <c s="2272" t="s">
        <v>447</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109</v>
      </c>
      <c s="1257" t="s">
        <v>110</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236</v>
      </c>
      <c s="1365"/>
      <c s="1365"/>
      <c s="1365"/>
      <c s="2260">
        <v>1</v>
      </c>
      <c s="1365"/>
      <c s="1365"/>
      <c s="1365"/>
      <c s="1365"/>
      <c s="1365"/>
      <c s="1365"/>
      <c s="1366"/>
      <c s="1367"/>
      <c s="1367"/>
      <c s="1367"/>
      <c s="363"/>
      <c s="362"/>
      <c s="357"/>
      <c s="1459">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236</v>
      </c>
      <c s="1365" t="s">
        <v>237</v>
      </c>
      <c s="1365"/>
      <c s="1365"/>
      <c s="2261"/>
      <c s="2260">
        <v>1</v>
      </c>
      <c s="1365"/>
      <c s="1365"/>
      <c s="1365"/>
      <c s="1365"/>
      <c s="1365"/>
      <c s="1366"/>
      <c s="1367"/>
      <c s="1367"/>
      <c s="1367"/>
      <c s="1455"/>
      <c s="354"/>
      <c s="355"/>
      <c s="1459"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236</v>
      </c>
      <c s="1365" t="s">
        <v>237</v>
      </c>
      <c s="1365" t="s">
        <v>238</v>
      </c>
      <c s="1365"/>
      <c s="2261"/>
      <c s="2261"/>
      <c s="2260">
        <v>1</v>
      </c>
      <c s="1365"/>
      <c s="1365"/>
      <c s="1365"/>
      <c s="1365"/>
      <c s="1366"/>
      <c s="1367"/>
      <c s="1367"/>
      <c s="1367"/>
      <c s="356"/>
      <c s="354"/>
      <c s="355"/>
      <c s="1459" t="str">
        <f>INDEX(PT_DIFFERENTIATION_NUM_CS,MATCH(C43,PT_DIFFERENTIATION_CS_ID,0))</f>
        <v>..</v>
      </c>
      <c s="311" t="s">
        <v>481</v>
      </c>
      <c s="302"/>
      <c s="2244"/>
      <c s="2245"/>
      <c s="2245"/>
      <c s="2245"/>
      <c s="2245"/>
      <c s="2245"/>
      <c s="2246"/>
      <c s="2244" t="str">
        <f>INDEX(PT_DIFFERENTIATION_CS,MATCH(C43,PT_DIFFERENTIATION_CS_ID,0))</f>
        <v/>
      </c>
      <c s="2245"/>
      <c s="2245"/>
      <c s="2245"/>
      <c s="2245"/>
      <c s="2245"/>
      <c s="2245"/>
      <c s="2246"/>
      <c s="1260" t="s">
        <v>482</v>
      </c>
      <c r="AM43" s="502"/>
      <c s="502" t="str">
        <f>IF(T43="","",T43)</f>
        <v>Наименование централизованной системы холодного водоснабжения</v>
      </c>
      <c s="502"/>
      <c s="502"/>
      <c s="1157">
        <v>23</v>
      </c>
    </row>
    <row r="44" spans="1:43" ht="24" customHeight="1">
      <c r="A44" s="1365" t="s">
        <v>236</v>
      </c>
      <c s="1365" t="s">
        <v>237</v>
      </c>
      <c s="1365" t="s">
        <v>238</v>
      </c>
      <c s="1365" t="s">
        <v>497</v>
      </c>
      <c s="2261"/>
      <c s="2261"/>
      <c s="2261"/>
      <c s="2261"/>
      <c s="2258" t="str">
        <f>S43&amp;".1"</f>
        <v>...1</v>
      </c>
      <c s="1365"/>
      <c s="1365"/>
      <c s="1366"/>
      <c r="P44" s="2259">
        <v>1</v>
      </c>
      <c s="1452"/>
      <c s="358"/>
      <c s="1459"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236</v>
      </c>
      <c s="1365" t="s">
        <v>237</v>
      </c>
      <c s="1365" t="s">
        <v>238</v>
      </c>
      <c s="1365" t="s">
        <v>497</v>
      </c>
      <c s="2261"/>
      <c s="2261"/>
      <c s="2261"/>
      <c s="2261"/>
      <c s="2288"/>
      <c s="2258" t="str">
        <f>I44&amp;".1"</f>
        <v>...1.1</v>
      </c>
      <c s="1365"/>
      <c s="1366" t="s">
        <v>406</v>
      </c>
      <c r="P45" s="2259"/>
      <c s="2259">
        <v>1</v>
      </c>
      <c s="359"/>
      <c s="1459"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236</v>
      </c>
      <c s="1365" t="s">
        <v>237</v>
      </c>
      <c s="1365" t="s">
        <v>238</v>
      </c>
      <c s="1365" t="s">
        <v>497</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236</v>
      </c>
      <c s="1365" t="s">
        <v>237</v>
      </c>
      <c s="1365" t="s">
        <v>238</v>
      </c>
      <c s="1365" t="s">
        <v>497</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236</v>
      </c>
      <c s="1365" t="s">
        <v>237</v>
      </c>
      <c s="1365" t="s">
        <v>238</v>
      </c>
      <c s="1365" t="s">
        <v>497</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236</v>
      </c>
      <c s="1365" t="s">
        <v>237</v>
      </c>
      <c s="1365" t="s">
        <v>238</v>
      </c>
      <c s="1365" t="s">
        <v>497</v>
      </c>
      <c s="2261"/>
      <c s="2261"/>
      <c s="2261"/>
      <c s="2261"/>
      <c s="2258"/>
      <c s="1365"/>
      <c s="1365"/>
      <c s="1366"/>
      <c r="P49" s="2259"/>
      <c s="1452"/>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236</v>
      </c>
      <c s="1365" t="s">
        <v>237</v>
      </c>
      <c s="1365" t="s">
        <v>238</v>
      </c>
      <c s="1365" t="s">
        <v>497</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236</v>
      </c>
      <c s="1345" t="s">
        <v>237</v>
      </c>
      <c s="1316"/>
      <c s="1316"/>
      <c s="2261"/>
      <c s="2260"/>
      <c s="1316"/>
      <c s="1316"/>
      <c s="1316"/>
      <c s="1316"/>
      <c s="1316"/>
      <c s="1460"/>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236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EEB6128-1D0E-297B-2EC9-0.A28587C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481</v>
      </c>
      <c s="302"/>
      <c s="2244"/>
      <c s="2245"/>
      <c s="2245"/>
      <c s="2245"/>
      <c s="2245"/>
      <c s="2245"/>
      <c s="2246"/>
      <c s="2244">
        <f>INDEX(PT_DIFFERENTIATION_CS,MATCH(C4,PT_DIFFERENTIATION_CS_ID,0))</f>
      </c>
      <c s="2245"/>
      <c s="2245"/>
      <c s="2245"/>
      <c s="2245"/>
      <c s="2245"/>
      <c s="2245"/>
      <c s="2246"/>
      <c s="1260" t="s">
        <v>482</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59">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417</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454" t="s">
        <v>489</v>
      </c>
      <c s="2264" t="s">
        <v>435</v>
      </c>
      <c s="2265"/>
      <c s="2264" t="s">
        <v>436</v>
      </c>
      <c s="2271"/>
      <c s="2265"/>
      <c s="2280"/>
      <c s="1454" t="s">
        <v>489</v>
      </c>
      <c s="2264" t="s">
        <v>435</v>
      </c>
      <c s="2265"/>
      <c s="2264" t="s">
        <v>436</v>
      </c>
      <c s="2271"/>
      <c s="2265"/>
      <c s="2280"/>
      <c s="2283"/>
      <c s="2129"/>
      <c r="AQ38" s="1157">
        <v>34</v>
      </c>
    </row>
    <row r="39" spans="1:43" ht="35.7" customHeight="1">
      <c r="A39" s="1372"/>
      <c s="1372" t="s">
        <v>137</v>
      </c>
      <c s="1372" t="s">
        <v>138</v>
      </c>
      <c s="1372" t="s">
        <v>139</v>
      </c>
      <c s="1366" t="s">
        <v>437</v>
      </c>
      <c s="1366" t="s">
        <v>438</v>
      </c>
      <c s="1366" t="s">
        <v>439</v>
      </c>
      <c s="1366"/>
      <c s="1366" t="s">
        <v>490</v>
      </c>
      <c s="1366" t="s">
        <v>442</v>
      </c>
      <c s="1366" t="s">
        <v>491</v>
      </c>
      <c s="1366" t="s">
        <v>418</v>
      </c>
      <c r="Q39" s="378"/>
      <c s="378"/>
      <c s="2275"/>
      <c s="2211"/>
      <c s="304"/>
      <c s="1454" t="s">
        <v>492</v>
      </c>
      <c s="1224" t="s">
        <v>493</v>
      </c>
      <c s="1224" t="s">
        <v>494</v>
      </c>
      <c s="1457" t="s">
        <v>446</v>
      </c>
      <c s="2272" t="s">
        <v>447</v>
      </c>
      <c s="2273"/>
      <c s="2281"/>
      <c s="1454" t="s">
        <v>492</v>
      </c>
      <c s="1224" t="s">
        <v>493</v>
      </c>
      <c s="1224" t="s">
        <v>494</v>
      </c>
      <c s="1457" t="s">
        <v>446</v>
      </c>
      <c s="2272" t="s">
        <v>447</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109</v>
      </c>
      <c s="1257" t="s">
        <v>110</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241</v>
      </c>
      <c s="1365"/>
      <c s="1365"/>
      <c s="1365"/>
      <c s="2260">
        <v>1</v>
      </c>
      <c s="1365"/>
      <c s="1365"/>
      <c s="1365"/>
      <c s="1365"/>
      <c s="1365"/>
      <c s="1365"/>
      <c s="1366"/>
      <c s="1367"/>
      <c s="1367"/>
      <c s="1367"/>
      <c s="363"/>
      <c s="362"/>
      <c s="357"/>
      <c s="1459">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241</v>
      </c>
      <c s="1365" t="s">
        <v>242</v>
      </c>
      <c s="1365"/>
      <c s="1365"/>
      <c s="2261"/>
      <c s="2260">
        <v>1</v>
      </c>
      <c s="1365"/>
      <c s="1365"/>
      <c s="1365"/>
      <c s="1365"/>
      <c s="1365"/>
      <c s="1366"/>
      <c s="1367"/>
      <c s="1367"/>
      <c s="1367"/>
      <c s="1455"/>
      <c s="354"/>
      <c s="355"/>
      <c s="1459"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241</v>
      </c>
      <c s="1365" t="s">
        <v>242</v>
      </c>
      <c s="1365" t="s">
        <v>243</v>
      </c>
      <c s="1365"/>
      <c s="2261"/>
      <c s="2261"/>
      <c s="2260">
        <v>1</v>
      </c>
      <c s="1365"/>
      <c s="1365"/>
      <c s="1365"/>
      <c s="1365"/>
      <c s="1366"/>
      <c s="1367"/>
      <c s="1367"/>
      <c s="1367"/>
      <c s="356"/>
      <c s="354"/>
      <c s="355"/>
      <c s="1459" t="str">
        <f>INDEX(PT_DIFFERENTIATION_NUM_CS,MATCH(C43,PT_DIFFERENTIATION_CS_ID,0))</f>
        <v>..</v>
      </c>
      <c s="311" t="s">
        <v>481</v>
      </c>
      <c s="302"/>
      <c s="2244"/>
      <c s="2245"/>
      <c s="2245"/>
      <c s="2245"/>
      <c s="2245"/>
      <c s="2245"/>
      <c s="2246"/>
      <c s="2244" t="str">
        <f>INDEX(PT_DIFFERENTIATION_CS,MATCH(C43,PT_DIFFERENTIATION_CS_ID,0))</f>
        <v/>
      </c>
      <c s="2245"/>
      <c s="2245"/>
      <c s="2245"/>
      <c s="2245"/>
      <c s="2245"/>
      <c s="2245"/>
      <c s="2246"/>
      <c s="1260" t="s">
        <v>482</v>
      </c>
      <c r="AM43" s="502"/>
      <c s="502" t="str">
        <f>IF(T43="","",T43)</f>
        <v>Наименование централизованной системы холодного водоснабжения</v>
      </c>
      <c s="502"/>
      <c s="502"/>
      <c s="1157">
        <v>23</v>
      </c>
    </row>
    <row r="44" spans="1:43" ht="24" customHeight="1">
      <c r="A44" s="1365" t="s">
        <v>241</v>
      </c>
      <c s="1365" t="s">
        <v>242</v>
      </c>
      <c s="1365" t="s">
        <v>243</v>
      </c>
      <c s="1365" t="s">
        <v>498</v>
      </c>
      <c s="2261"/>
      <c s="2261"/>
      <c s="2261"/>
      <c s="2261"/>
      <c s="2258" t="str">
        <f>S43&amp;".1"</f>
        <v>...1</v>
      </c>
      <c s="1365"/>
      <c s="1365"/>
      <c s="1366"/>
      <c r="P44" s="2259">
        <v>1</v>
      </c>
      <c s="1452"/>
      <c s="358"/>
      <c s="1459"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241</v>
      </c>
      <c s="1365" t="s">
        <v>242</v>
      </c>
      <c s="1365" t="s">
        <v>243</v>
      </c>
      <c s="1365" t="s">
        <v>498</v>
      </c>
      <c s="2261"/>
      <c s="2261"/>
      <c s="2261"/>
      <c s="2261"/>
      <c s="2288"/>
      <c s="2258" t="str">
        <f>I44&amp;".1"</f>
        <v>...1.1</v>
      </c>
      <c s="1365"/>
      <c s="1366" t="s">
        <v>406</v>
      </c>
      <c r="P45" s="2259"/>
      <c s="2259">
        <v>1</v>
      </c>
      <c s="359"/>
      <c s="1459"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241</v>
      </c>
      <c s="1365" t="s">
        <v>242</v>
      </c>
      <c s="1365" t="s">
        <v>243</v>
      </c>
      <c s="1365" t="s">
        <v>498</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241</v>
      </c>
      <c s="1365" t="s">
        <v>242</v>
      </c>
      <c s="1365" t="s">
        <v>243</v>
      </c>
      <c s="1365" t="s">
        <v>498</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241</v>
      </c>
      <c s="1365" t="s">
        <v>242</v>
      </c>
      <c s="1365" t="s">
        <v>243</v>
      </c>
      <c s="1365" t="s">
        <v>498</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241</v>
      </c>
      <c s="1365" t="s">
        <v>242</v>
      </c>
      <c s="1365" t="s">
        <v>243</v>
      </c>
      <c s="1365" t="s">
        <v>498</v>
      </c>
      <c s="2261"/>
      <c s="2261"/>
      <c s="2261"/>
      <c s="2261"/>
      <c s="2258"/>
      <c s="1365"/>
      <c s="1365"/>
      <c s="1366"/>
      <c r="P49" s="2259"/>
      <c s="1452"/>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241</v>
      </c>
      <c s="1365" t="s">
        <v>242</v>
      </c>
      <c s="1365" t="s">
        <v>243</v>
      </c>
      <c s="1365" t="s">
        <v>498</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241</v>
      </c>
      <c s="1345" t="s">
        <v>242</v>
      </c>
      <c s="1316"/>
      <c s="1316"/>
      <c s="2261"/>
      <c s="2260"/>
      <c s="1316"/>
      <c s="1316"/>
      <c s="1316"/>
      <c s="1316"/>
      <c s="1316"/>
      <c s="1460"/>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241</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8CE7BE-0DB7-C80B-0D9C-0.E01CF356}"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7" hidden="1" customWidth="1"/>
    <col min="4" max="4" width="11.8571428571429" style="1637" hidden="1" customWidth="1"/>
    <col min="5" max="11" width="10.1428571428571" style="1637" hidden="1" customWidth="1"/>
    <col min="12" max="12" width="10.1428571428571" style="2127" hidden="1" customWidth="1"/>
    <col min="13" max="15" width="10.1428571428571" style="2399" hidden="1" customWidth="1"/>
    <col min="16" max="16" width="3" style="1778" customWidth="1"/>
    <col min="17" max="17" width="3" style="1373" customWidth="1"/>
    <col min="18" max="18" width="3" style="346" customWidth="1"/>
    <col min="19" max="19" width="12" style="2409" customWidth="1"/>
    <col min="20" max="20" width="31" style="1637" customWidth="1"/>
    <col min="21" max="21" width="0.142857142857143" style="1637" customWidth="1"/>
    <col min="22" max="23" width="21.7142857142857" style="1637" hidden="1" customWidth="1"/>
    <col min="24" max="24" width="11.7142857142857" style="1637" hidden="1" customWidth="1"/>
    <col min="25" max="25" width="3.71428571428571" style="1637" hidden="1" customWidth="1"/>
    <col min="26" max="26" width="11.7142857142857" style="1637" hidden="1" customWidth="1"/>
    <col min="27" max="27" width="8.57142857142857" style="1637" hidden="1" customWidth="1"/>
    <col min="28" max="28" width="27" style="1637" customWidth="1"/>
    <col min="29" max="29" width="24.5714285714286" style="1637" customWidth="1"/>
    <col min="30" max="31" width="21"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43:43" ht="0.75" customHeight="1" hidden="1">
      <c r="AQ1" s="1633" t="s">
        <v>14</v>
      </c>
    </row>
    <row r="2" spans="1:43" ht="21" customHeight="1" hidden="1">
      <c r="A2" s="1269"/>
      <c s="1269"/>
      <c s="1269"/>
      <c s="1269"/>
      <c s="2291">
        <v>1</v>
      </c>
      <c s="1269"/>
      <c s="1269"/>
      <c s="1269"/>
      <c s="1269"/>
      <c s="1269"/>
      <c s="1269"/>
      <c s="1312"/>
      <c s="1612"/>
      <c s="1612"/>
      <c s="1612"/>
      <c s="1411"/>
      <c s="875"/>
      <c s="357"/>
      <c s="1960">
        <f>INDEX(PT_DIFFERENTIATION_NUM_NTAR,MATCH(A2,PT_DIFFERENTIATION_NTAR_ID,0))</f>
      </c>
      <c s="1527" t="s">
        <v>125</v>
      </c>
      <c s="302"/>
      <c s="2245"/>
      <c s="2245"/>
      <c s="2245"/>
      <c s="2245"/>
      <c s="2245"/>
      <c s="2246"/>
      <c s="1954"/>
      <c s="2245">
        <f>INDEX(PT_DIFFERENTIATION_NTAR,MATCH(A2,PT_DIFFERENTIATION_NTAR_ID,0))</f>
      </c>
      <c s="2245"/>
      <c s="2245"/>
      <c s="2245"/>
      <c s="2245"/>
      <c s="2245"/>
      <c s="2245"/>
      <c s="2246"/>
      <c s="1260" t="s">
        <v>396</v>
      </c>
      <c r="AM2" s="1626"/>
      <c s="1626" t="str">
        <f>IF(T2="","",T2)</f>
        <v>Наименование тарифа</v>
      </c>
      <c s="1626"/>
      <c s="1626"/>
      <c s="1633">
        <v>0</v>
      </c>
    </row>
    <row r="3" spans="1:43" ht="21" customHeight="1" hidden="1">
      <c r="A3" s="1269"/>
      <c s="1269"/>
      <c s="1269"/>
      <c s="1269"/>
      <c s="2292"/>
      <c s="2291">
        <v>1</v>
      </c>
      <c s="1269"/>
      <c s="1269"/>
      <c s="1269"/>
      <c s="1269"/>
      <c s="1269"/>
      <c s="1312"/>
      <c s="1612"/>
      <c s="1612"/>
      <c s="1612"/>
      <c s="1971"/>
      <c s="1413"/>
      <c s="355"/>
      <c s="1960">
        <f>INDEX(PT_DIFFERENTIATION_NUM_TER,MATCH(B3,PT_DIFFERENTIATION_TER_ID,0))</f>
      </c>
      <c s="1524" t="s">
        <v>397</v>
      </c>
      <c s="302"/>
      <c s="2245"/>
      <c s="2245"/>
      <c s="2245"/>
      <c s="2245"/>
      <c s="2245"/>
      <c s="2246"/>
      <c s="1954"/>
      <c s="2245">
        <f>INDEX(PT_DIFFERENTIATION_TER,MATCH(B3,PT_DIFFERENTIATION_TER_ID,0))</f>
      </c>
      <c s="2245"/>
      <c s="2245"/>
      <c s="2245"/>
      <c s="2245"/>
      <c s="2245"/>
      <c s="2245"/>
      <c s="2246"/>
      <c s="1260" t="s">
        <v>398</v>
      </c>
      <c r="AM3" s="1626"/>
      <c s="1626" t="str">
        <f>IF(T3="","",T3)</f>
        <v>Территория действия тарифа</v>
      </c>
      <c s="1626"/>
      <c s="1626"/>
      <c s="1633">
        <v>0</v>
      </c>
    </row>
    <row r="4" spans="1:43" ht="22.5" customHeight="1" hidden="1">
      <c r="A4" s="1269"/>
      <c s="1269"/>
      <c s="1269"/>
      <c s="1269"/>
      <c s="2292"/>
      <c s="2292"/>
      <c s="2291">
        <v>1</v>
      </c>
      <c s="1269"/>
      <c s="1269"/>
      <c s="1269"/>
      <c s="1269"/>
      <c s="1312"/>
      <c s="1612"/>
      <c s="1612"/>
      <c s="1612"/>
      <c s="1414"/>
      <c s="1413"/>
      <c s="355"/>
      <c s="1960">
        <f>INDEX(PT_DIFFERENTIATION_NUM_CS,MATCH(C4,PT_DIFFERENTIATION_CS_ID,0))</f>
      </c>
      <c s="311" t="s">
        <v>399</v>
      </c>
      <c s="302"/>
      <c s="2245"/>
      <c s="2245"/>
      <c s="2245"/>
      <c s="2245"/>
      <c s="2245"/>
      <c s="2246"/>
      <c s="1954"/>
      <c s="2245">
        <f>INDEX(PT_DIFFERENTIATION_CS,MATCH(C4,PT_DIFFERENTIATION_CS_ID,0))</f>
      </c>
      <c s="2245"/>
      <c s="2245"/>
      <c s="2245"/>
      <c s="2245"/>
      <c s="2245"/>
      <c s="2245"/>
      <c s="2246"/>
      <c s="1260" t="s">
        <v>400</v>
      </c>
      <c r="AM4" s="1626"/>
      <c s="1626" t="str">
        <f>IF(T4="","",T4)</f>
        <v>Наименование системы теплоснабжения</v>
      </c>
      <c s="1626"/>
      <c s="1626"/>
      <c s="1633">
        <v>0</v>
      </c>
    </row>
    <row r="5" spans="1:43" ht="21" customHeight="1" hidden="1">
      <c r="A5" s="1269"/>
      <c s="1269"/>
      <c s="1269"/>
      <c s="1269"/>
      <c s="2292"/>
      <c s="2292"/>
      <c s="2292"/>
      <c s="2291">
        <v>1</v>
      </c>
      <c s="1269"/>
      <c s="1269"/>
      <c s="1269"/>
      <c s="1312"/>
      <c s="1612"/>
      <c s="1612"/>
      <c s="1612"/>
      <c s="1414"/>
      <c s="1413"/>
      <c s="355"/>
      <c s="1960">
        <f>INDEX(PT_DIFFERENTIATION_NUM_IST_TE,MATCH(D5,PT_DIFFERENTIATION_IST_TE_ID,0))</f>
      </c>
      <c s="312" t="s">
        <v>401</v>
      </c>
      <c s="302"/>
      <c s="2245"/>
      <c s="2245"/>
      <c s="2245"/>
      <c s="2245"/>
      <c s="2245"/>
      <c s="2246"/>
      <c s="1954"/>
      <c s="2245">
        <f>INDEX(PT_DIFFERENTIATION_IST_TE,MATCH(D5,PT_DIFFERENTIATION_IST_TE_ID,0))</f>
      </c>
      <c s="2245"/>
      <c s="2245"/>
      <c s="2245"/>
      <c s="2245"/>
      <c s="2245"/>
      <c s="2245"/>
      <c s="2246"/>
      <c s="1260" t="s">
        <v>402</v>
      </c>
      <c r="AM5" s="1626"/>
      <c s="1626" t="str">
        <f>IF(T5="","",T5)</f>
        <v>Источник тепловой энергии</v>
      </c>
      <c s="1626"/>
      <c s="1626"/>
      <c s="1633">
        <v>0</v>
      </c>
    </row>
    <row r="6" spans="1:43" s="1644" customFormat="1" ht="0.75" customHeight="1" hidden="1">
      <c r="A6" s="1377"/>
      <c s="1377"/>
      <c s="1377"/>
      <c s="1377"/>
      <c s="2292"/>
      <c s="2292"/>
      <c s="2292"/>
      <c s="2292"/>
      <c s="2129">
        <f>S5&amp;".1"</f>
      </c>
      <c s="1377"/>
      <c s="1377"/>
      <c s="1383" t="s">
        <v>403</v>
      </c>
      <c s="1248"/>
      <c s="1248"/>
      <c s="1248"/>
      <c s="2259">
        <v>1</v>
      </c>
      <c s="1956"/>
      <c s="358"/>
      <c s="1044"/>
      <c s="1385"/>
      <c s="1386"/>
      <c s="2299"/>
      <c s="2299"/>
      <c s="2299"/>
      <c s="2299"/>
      <c s="2299"/>
      <c s="2300"/>
      <c s="1962"/>
      <c s="2299"/>
      <c s="2299"/>
      <c s="2299"/>
      <c s="2299"/>
      <c s="2299"/>
      <c s="2299"/>
      <c s="2299"/>
      <c s="2300"/>
      <c s="1387"/>
      <c r="AM6" s="1626"/>
      <c s="1626" t="str">
        <f>IF(T6="","",T6)</f>
        <v/>
      </c>
      <c s="1626"/>
      <c s="1626"/>
      <c s="1638">
        <v>0</v>
      </c>
    </row>
    <row r="7" spans="1:43" s="1644" customFormat="1" ht="0.75" customHeight="1" hidden="1">
      <c r="A7" s="1377"/>
      <c s="1377"/>
      <c s="1377"/>
      <c s="1377"/>
      <c s="2292"/>
      <c s="2292"/>
      <c s="2292"/>
      <c s="2292"/>
      <c s="2103"/>
      <c s="2129">
        <f>S5&amp;".1"</f>
      </c>
      <c s="1377"/>
      <c s="1383"/>
      <c s="1248"/>
      <c s="1248"/>
      <c s="1248"/>
      <c s="2259"/>
      <c s="2259">
        <v>1</v>
      </c>
      <c s="359"/>
      <c s="1044"/>
      <c s="1401"/>
      <c s="1386"/>
      <c s="2299"/>
      <c s="2299"/>
      <c s="2299"/>
      <c s="2299"/>
      <c s="2299"/>
      <c s="2300"/>
      <c s="1962"/>
      <c s="2299"/>
      <c s="2299"/>
      <c s="2299"/>
      <c s="2299"/>
      <c s="2299"/>
      <c s="2299"/>
      <c s="2299"/>
      <c s="2300"/>
      <c s="1387"/>
      <c r="AM7" s="1626"/>
      <c s="1626" t="str">
        <f>IF(T7="","",T7)</f>
        <v/>
      </c>
      <c s="1626"/>
      <c s="1626"/>
      <c s="1638">
        <v>0</v>
      </c>
    </row>
    <row r="8" spans="1:43" ht="21" customHeight="1" hidden="1">
      <c r="A8" s="1269"/>
      <c s="1269"/>
      <c s="1269"/>
      <c s="1269"/>
      <c s="2292"/>
      <c s="2292"/>
      <c s="2292"/>
      <c s="2292"/>
      <c s="2103"/>
      <c s="2103"/>
      <c s="1993">
        <f>S5&amp;".1"</f>
      </c>
      <c s="1312"/>
      <c r="P8" s="2259"/>
      <c s="2259"/>
      <c s="1997">
        <v>1</v>
      </c>
      <c s="1995">
        <f>$K8</f>
      </c>
      <c s="1996"/>
      <c s="302"/>
      <c s="753"/>
      <c s="1259"/>
      <c s="1994"/>
      <c s="1992" t="s">
        <v>65</v>
      </c>
      <c s="1994"/>
      <c s="1992" t="s">
        <v>65</v>
      </c>
      <c s="1998"/>
      <c s="1999" t="s">
        <v>22</v>
      </c>
      <c s="753"/>
      <c s="1259"/>
      <c s="1957"/>
      <c s="1944" t="s">
        <v>65</v>
      </c>
      <c s="1957"/>
      <c s="1944" t="s">
        <v>65</v>
      </c>
      <c s="1350"/>
      <c s="2255" t="s">
        <v>464</v>
      </c>
      <c s="1638">
        <f>STRCHECKDATE(#REF!)</f>
      </c>
      <c s="1626"/>
      <c s="1626" t="str">
        <f>IF(T8="","",T8)</f>
        <v/>
      </c>
      <c s="1626"/>
      <c s="1626"/>
      <c s="1633">
        <v>0</v>
      </c>
    </row>
    <row r="9" spans="1:43" ht="11.25" customHeight="1" hidden="1">
      <c r="A9" s="1269"/>
      <c s="1269"/>
      <c s="1269"/>
      <c s="1269"/>
      <c s="2292"/>
      <c s="2292"/>
      <c s="2292"/>
      <c s="2292"/>
      <c s="2103"/>
      <c s="2129"/>
      <c s="1269"/>
      <c s="1312"/>
      <c r="P9" s="2259"/>
      <c s="2259"/>
      <c s="358"/>
      <c s="1280"/>
      <c s="289" t="s">
        <v>468</v>
      </c>
      <c s="602"/>
      <c s="602"/>
      <c s="602"/>
      <c s="602"/>
      <c s="602"/>
      <c s="602"/>
      <c s="602"/>
      <c s="602"/>
      <c s="602"/>
      <c s="602"/>
      <c s="602"/>
      <c s="602"/>
      <c s="602"/>
      <c s="602"/>
      <c s="602"/>
      <c s="326"/>
      <c s="2257"/>
      <c r="AM9" s="1626"/>
      <c s="1626" t="str">
        <f>IF(T9="","",T9)</f>
        <v>Добавить строку</v>
      </c>
      <c s="1626"/>
      <c s="1626"/>
      <c s="1633">
        <v>0</v>
      </c>
    </row>
    <row r="10" spans="1:43" s="1644" customFormat="1" ht="0.75" customHeight="1" hidden="1">
      <c r="A10" s="1377"/>
      <c s="1377"/>
      <c s="1377"/>
      <c s="1377"/>
      <c s="2292"/>
      <c s="2292"/>
      <c s="2292"/>
      <c s="2292"/>
      <c s="2129"/>
      <c s="1377"/>
      <c s="1377"/>
      <c s="1383"/>
      <c s="1248"/>
      <c s="1248"/>
      <c s="1248"/>
      <c s="2259"/>
      <c s="1956"/>
      <c s="358"/>
      <c s="1388"/>
      <c s="1389"/>
      <c s="1390"/>
      <c s="1390"/>
      <c s="1390"/>
      <c s="1390"/>
      <c s="1390"/>
      <c s="1390"/>
      <c s="1390"/>
      <c s="1390"/>
      <c s="1390"/>
      <c s="1390"/>
      <c s="1390"/>
      <c s="1390"/>
      <c s="1390"/>
      <c s="1390"/>
      <c s="1390"/>
      <c s="1390"/>
      <c s="1391"/>
      <c r="AM10" s="1626"/>
      <c s="1626" t="str">
        <f>IF(T10="","",T10)</f>
        <v/>
      </c>
      <c s="1626"/>
      <c s="1626"/>
      <c s="1638">
        <v>0</v>
      </c>
    </row>
    <row r="11" spans="1:43" s="1644" customFormat="1" ht="0.75" customHeight="1" hidden="1">
      <c r="A11" s="1377"/>
      <c s="1377"/>
      <c s="1377"/>
      <c s="1377"/>
      <c s="2292"/>
      <c s="2292"/>
      <c s="2292"/>
      <c s="2291"/>
      <c s="1377"/>
      <c s="1377"/>
      <c s="1377"/>
      <c s="1383"/>
      <c s="1380"/>
      <c s="1380"/>
      <c s="353"/>
      <c s="382"/>
      <c s="1346"/>
      <c s="1403"/>
      <c s="1388"/>
      <c s="1389"/>
      <c s="1390"/>
      <c s="1390"/>
      <c s="1390"/>
      <c s="1390"/>
      <c s="1390"/>
      <c s="1390"/>
      <c s="1390"/>
      <c s="1390"/>
      <c s="1390"/>
      <c s="1390"/>
      <c s="1390"/>
      <c s="1390"/>
      <c s="1390"/>
      <c s="1390"/>
      <c s="1390"/>
      <c s="1390"/>
      <c s="1391"/>
      <c r="AM11" s="1626"/>
      <c s="1626" t="str">
        <f>IF(T11="","",T11)</f>
        <v/>
      </c>
      <c s="1626"/>
      <c s="1626"/>
      <c s="1638">
        <v>0</v>
      </c>
    </row>
    <row r="12" spans="1:43" s="1644" customFormat="1" ht="0.75" customHeight="1" hidden="1">
      <c r="A12" s="1377"/>
      <c s="1377"/>
      <c s="1377"/>
      <c s="1376"/>
      <c s="2292"/>
      <c s="2292"/>
      <c s="2291"/>
      <c s="1376"/>
      <c s="1376"/>
      <c s="1376"/>
      <c s="1376"/>
      <c s="1379"/>
      <c s="1380"/>
      <c s="1380"/>
      <c s="353"/>
      <c s="1318"/>
      <c s="1319"/>
      <c s="1318"/>
      <c s="1324"/>
      <c s="1327" t="s">
        <v>414</v>
      </c>
      <c s="1326"/>
      <c s="1326"/>
      <c s="1326"/>
      <c s="1326"/>
      <c s="1326"/>
      <c s="1326"/>
      <c s="1326"/>
      <c s="1326"/>
      <c s="1326"/>
      <c s="1326"/>
      <c s="1326"/>
      <c s="1326"/>
      <c s="1326"/>
      <c s="1326"/>
      <c s="1326"/>
      <c s="1326"/>
      <c s="1326"/>
      <c r="AM12" s="1253"/>
      <c s="1253" t="str">
        <f>IF(T12="","",T12)</f>
        <v>Добавить источник для дифференциации</v>
      </c>
      <c s="1253"/>
      <c s="1253"/>
      <c s="1644">
        <v>0</v>
      </c>
    </row>
    <row r="13" spans="1:43" s="1644" customFormat="1" ht="0.75" customHeight="1" hidden="1">
      <c r="A13" s="1377"/>
      <c s="1377"/>
      <c s="1376"/>
      <c s="1376"/>
      <c s="2292"/>
      <c s="2291"/>
      <c s="1376"/>
      <c s="1376"/>
      <c s="1376"/>
      <c s="1376"/>
      <c s="1376"/>
      <c s="1379"/>
      <c s="1381"/>
      <c s="1381"/>
      <c s="353"/>
      <c s="1318"/>
      <c s="1319"/>
      <c s="1318"/>
      <c s="1324"/>
      <c s="1327" t="s">
        <v>415</v>
      </c>
      <c s="1326"/>
      <c s="1326"/>
      <c s="1326"/>
      <c s="1326"/>
      <c s="1326"/>
      <c s="1326"/>
      <c s="1326"/>
      <c s="1326"/>
      <c s="1326"/>
      <c s="1326"/>
      <c s="1326"/>
      <c s="1326"/>
      <c s="1326"/>
      <c s="1326"/>
      <c s="1326"/>
      <c s="1326"/>
      <c s="1326"/>
      <c r="AM13" s="1253"/>
      <c s="1253" t="str">
        <f>IF(T13="","",T13)</f>
        <v>Добавить централизованную систему для дифференциации</v>
      </c>
      <c s="1253"/>
      <c s="1253"/>
      <c s="1644">
        <v>0</v>
      </c>
    </row>
    <row r="14" spans="1:43" s="1644" customFormat="1" ht="0.75" customHeight="1" hidden="1">
      <c r="A14" s="1377"/>
      <c s="1377"/>
      <c s="1377"/>
      <c s="1377"/>
      <c s="2291"/>
      <c s="1377"/>
      <c s="1377"/>
      <c s="1377"/>
      <c s="1377"/>
      <c s="1377"/>
      <c s="1377"/>
      <c s="1383"/>
      <c s="1381"/>
      <c s="1381"/>
      <c s="353"/>
      <c s="382"/>
      <c s="1346"/>
      <c s="382"/>
      <c s="1324"/>
      <c s="1327" t="s">
        <v>416</v>
      </c>
      <c s="1326"/>
      <c s="1326"/>
      <c s="1326"/>
      <c s="1326"/>
      <c s="1326"/>
      <c s="1326"/>
      <c s="1326"/>
      <c s="1326"/>
      <c s="1326"/>
      <c s="1326"/>
      <c s="1326"/>
      <c s="1326"/>
      <c s="1326"/>
      <c s="1326"/>
      <c s="1326"/>
      <c s="1326"/>
      <c s="1326"/>
      <c r="AM14" s="1626"/>
      <c s="1626" t="str">
        <f>IF(T14="","",T14)</f>
        <v>Добавить территорию для дифференциации</v>
      </c>
      <c s="1626"/>
      <c s="1626"/>
      <c s="1638">
        <v>0</v>
      </c>
    </row>
    <row r="15" spans="43:43" ht="14.25" customHeight="1" hidden="1">
      <c r="AQ15" s="1633">
        <v>0</v>
      </c>
    </row>
    <row r="16" spans="29:43" ht="14.25" customHeight="1" hidden="1">
      <c r="AC16" s="1504"/>
      <c s="1405"/>
      <c s="1406"/>
      <c s="1738"/>
      <c s="1968" t="s">
        <v>65</v>
      </c>
      <c s="1738"/>
      <c s="1968" t="s">
        <v>65</v>
      </c>
      <c r="AQ16" s="1633">
        <v>0</v>
      </c>
    </row>
    <row r="17" spans="38:43" ht="14.25" customHeight="1" hidden="1">
      <c r="AL17" s="1643"/>
      <c s="1643"/>
      <c s="1643"/>
      <c s="1643"/>
      <c s="1643"/>
      <c s="1633">
        <v>0</v>
      </c>
    </row>
    <row r="18" spans="15:43" ht="14.25" customHeight="1" hidden="1">
      <c r="O18" s="1347" t="s">
        <v>417</v>
      </c>
      <c r="X18" s="1347"/>
      <c r="Z18" s="1347"/>
      <c r="AF18" s="1347"/>
      <c r="AH18" s="1347"/>
      <c r="AL18" s="1643"/>
      <c s="1643"/>
      <c s="1643"/>
      <c s="1643"/>
      <c s="1643"/>
      <c s="1633">
        <v>0</v>
      </c>
    </row>
    <row r="19" spans="38:43" ht="14.25" customHeight="1" hidden="1">
      <c r="AL19" s="1643"/>
      <c s="1643"/>
      <c s="1643"/>
      <c s="1643"/>
      <c s="1643"/>
      <c s="1633">
        <v>0</v>
      </c>
    </row>
    <row r="20" spans="1:43" s="1511" customFormat="1" ht="14.25" customHeight="1" hidden="1">
      <c r="A20" s="1973"/>
      <c s="1973"/>
      <c s="1973"/>
      <c s="1973"/>
      <c s="1973"/>
      <c s="1973"/>
      <c s="1973"/>
      <c s="1973"/>
      <c s="1973"/>
      <c s="1973"/>
      <c s="1973"/>
      <c s="1973"/>
      <c s="1974"/>
      <c s="1974"/>
      <c s="1975" t="s">
        <v>418</v>
      </c>
      <c s="1510"/>
      <c s="1512"/>
      <c s="1512"/>
      <c r="Y20" s="1509" t="s">
        <v>420</v>
      </c>
      <c r="AA20" s="1509" t="s">
        <v>421</v>
      </c>
      <c r="AC20" s="1509" t="s">
        <v>470</v>
      </c>
      <c r="AG20" s="1509" t="s">
        <v>420</v>
      </c>
      <c r="AI20" s="1509" t="s">
        <v>421</v>
      </c>
      <c r="AL20" s="1513"/>
      <c s="1513"/>
      <c s="1513"/>
      <c s="1513"/>
      <c s="1513"/>
      <c s="1509">
        <v>0</v>
      </c>
    </row>
    <row r="21" spans="15:43" ht="14.25" customHeight="1" hidden="1">
      <c r="O21" s="1312"/>
      <c r="AL21" s="1643"/>
      <c s="1643"/>
      <c s="1643"/>
      <c s="1643"/>
      <c s="1643"/>
      <c s="1633">
        <v>0</v>
      </c>
    </row>
    <row r="22" spans="15:43" ht="14.25" customHeight="1" hidden="1">
      <c r="O22" s="1312"/>
      <c r="AL22" s="1643"/>
      <c s="1643"/>
      <c s="1643"/>
      <c s="1643"/>
      <c s="1643"/>
      <c s="1633">
        <v>0</v>
      </c>
    </row>
    <row r="23" spans="17:43" ht="14.7" customHeight="1">
      <c r="Q23" s="293"/>
      <c s="378"/>
      <c s="1277"/>
      <c s="459"/>
      <c s="459"/>
      <c s="1637"/>
      <c s="1637"/>
      <c s="1637"/>
      <c s="1637"/>
      <c s="1637"/>
      <c s="1637"/>
      <c s="1637"/>
      <c s="1637"/>
      <c s="1637"/>
      <c s="1637"/>
      <c s="1637"/>
      <c s="1637"/>
      <c s="1637"/>
      <c s="1637"/>
      <c r="AQ23" s="1633">
        <v>14</v>
      </c>
    </row>
    <row r="24" spans="17:43" ht="39.75" customHeight="1">
      <c r="Q24" s="293"/>
      <c s="378"/>
      <c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0"/>
      <c s="2250"/>
      <c s="2250"/>
      <c s="2250"/>
      <c s="2250"/>
      <c s="2250"/>
      <c s="2250"/>
      <c s="2250"/>
      <c s="2250"/>
      <c s="2250"/>
      <c s="2250"/>
      <c s="2250"/>
      <c s="2250"/>
      <c s="2250"/>
      <c s="2250"/>
      <c s="1245"/>
      <c r="AQ24" s="1633">
        <v>38</v>
      </c>
    </row>
    <row r="25" spans="17:43" ht="14.7" customHeight="1">
      <c r="Q25" s="293"/>
      <c s="378"/>
      <c s="2251" t="str">
        <f>IF(org=0,"Не определено",org)</f>
        <v>ГУП КК "Кубаньводкомплекс"</v>
      </c>
      <c s="2251"/>
      <c s="2251"/>
      <c s="2251"/>
      <c s="2251"/>
      <c s="2251"/>
      <c s="2251"/>
      <c s="2251"/>
      <c s="2251"/>
      <c s="2251"/>
      <c s="2251"/>
      <c s="2251"/>
      <c s="2251"/>
      <c s="2251"/>
      <c s="2251"/>
      <c s="2251"/>
      <c s="1245"/>
      <c r="AQ25" s="1633">
        <v>14</v>
      </c>
    </row>
    <row r="26" spans="17:43" ht="14.25" customHeight="1" hidden="1">
      <c r="Q26" s="293"/>
      <c s="378"/>
      <c s="1277"/>
      <c s="459"/>
      <c s="459"/>
      <c s="324"/>
      <c s="324"/>
      <c s="324"/>
      <c s="324"/>
      <c s="324"/>
      <c s="324"/>
      <c s="324"/>
      <c s="324"/>
      <c s="324"/>
      <c s="324"/>
      <c s="324"/>
      <c s="324"/>
      <c s="324"/>
      <c s="324"/>
      <c s="1637"/>
      <c r="AQ26" s="1633">
        <v>0</v>
      </c>
    </row>
    <row r="27" spans="1:43" s="1855" customFormat="1" ht="25.5" customHeight="1" hidden="1">
      <c r="A27" s="1250"/>
      <c s="1250"/>
      <c s="1250"/>
      <c s="1250"/>
      <c s="1250"/>
      <c s="1250"/>
      <c s="1250"/>
      <c s="1250"/>
      <c s="1250"/>
      <c s="1250"/>
      <c s="1250"/>
      <c s="1382"/>
      <c s="1250"/>
      <c s="1250"/>
      <c s="1250"/>
      <c s="1370"/>
      <c s="1370"/>
      <c r="S27" s="2252" t="s">
        <v>42</v>
      </c>
      <c s="2252"/>
      <c s="1374"/>
      <c s="2253" t="str">
        <f>IF(TITLE_NAME_OR_PR_CHANGE="",IF(TITLE_NAME_OR_PR="","",TITLE_NAME_OR_PR),TITLE_NAME_OR_PR_CHANGE)</f>
        <v/>
      </c>
      <c s="2253"/>
      <c s="2253"/>
      <c s="2253"/>
      <c s="2253"/>
      <c s="1637"/>
      <c s="1637"/>
      <c s="2253"/>
      <c s="2253"/>
      <c s="2253"/>
      <c s="2253"/>
      <c s="2253"/>
      <c s="2253"/>
      <c s="1637"/>
      <c s="1637"/>
      <c s="282"/>
      <c s="370"/>
      <c s="370"/>
      <c s="370"/>
      <c s="370"/>
      <c s="370"/>
      <c s="420">
        <v>0</v>
      </c>
    </row>
    <row r="28" spans="1:43" s="1855" customFormat="1" ht="18.75" customHeight="1" hidden="1">
      <c r="A28" s="1250"/>
      <c s="1250"/>
      <c s="1250"/>
      <c s="1250"/>
      <c s="1250"/>
      <c s="1250"/>
      <c s="1250"/>
      <c s="1250"/>
      <c s="1250"/>
      <c s="1250"/>
      <c s="1250"/>
      <c s="1382"/>
      <c s="1250"/>
      <c s="1250"/>
      <c s="1250"/>
      <c s="1370"/>
      <c s="1370"/>
      <c r="S28" s="2252" t="s">
        <v>423</v>
      </c>
      <c s="2252"/>
      <c s="1374"/>
      <c s="2266" t="str">
        <f>IF(TITLE_DATE_PR_CHANGE="",IF(TITLE_DATE_PR="","",TITLE_DATE_PR),TITLE_DATE_PR_CHANGE)</f>
        <v/>
      </c>
      <c s="2266"/>
      <c s="2266"/>
      <c s="2266"/>
      <c s="2266"/>
      <c s="1637"/>
      <c s="1637"/>
      <c s="2266"/>
      <c s="2266"/>
      <c s="2266"/>
      <c s="2266"/>
      <c s="2266"/>
      <c s="2266"/>
      <c s="1637"/>
      <c s="1637"/>
      <c s="282"/>
      <c s="370"/>
      <c s="370"/>
      <c s="370"/>
      <c s="370"/>
      <c s="370"/>
      <c s="420">
        <v>0</v>
      </c>
    </row>
    <row r="29" spans="1:43" s="1855" customFormat="1" ht="18.75" customHeight="1" hidden="1">
      <c r="A29" s="1250"/>
      <c s="1250"/>
      <c s="1250"/>
      <c s="1250"/>
      <c s="1250"/>
      <c s="1250"/>
      <c s="1250"/>
      <c s="1250"/>
      <c s="1250"/>
      <c s="1250"/>
      <c s="1250"/>
      <c s="1382"/>
      <c s="1250"/>
      <c s="1250"/>
      <c s="1250"/>
      <c s="1370"/>
      <c s="1370"/>
      <c r="S29" s="2252" t="s">
        <v>424</v>
      </c>
      <c s="2252"/>
      <c s="1374"/>
      <c s="2253" t="str">
        <f>IF(TITLE_NUMBER_PR_CHANGE="",IF(TITLE_NUMBER_PR="","",TITLE_NUMBER_PR),TITLE_NUMBER_PR_CHANGE)</f>
        <v/>
      </c>
      <c s="2253"/>
      <c s="2253"/>
      <c s="2253"/>
      <c s="2253"/>
      <c s="1637"/>
      <c s="1637"/>
      <c s="2253"/>
      <c s="2253"/>
      <c s="2253"/>
      <c s="2253"/>
      <c s="2253"/>
      <c s="2253"/>
      <c s="1637"/>
      <c s="1637"/>
      <c s="282"/>
      <c s="370"/>
      <c s="370"/>
      <c s="370"/>
      <c s="370"/>
      <c s="370"/>
      <c s="420">
        <v>0</v>
      </c>
    </row>
    <row r="30" spans="1:43" s="1855" customFormat="1" ht="18.75" customHeight="1" hidden="1">
      <c r="A30" s="1250"/>
      <c s="1250"/>
      <c s="1250"/>
      <c s="1250"/>
      <c s="1250"/>
      <c s="1250"/>
      <c s="1250"/>
      <c s="1250"/>
      <c s="1250"/>
      <c s="1250"/>
      <c s="1250"/>
      <c s="1382"/>
      <c s="1250"/>
      <c s="1250"/>
      <c s="1250"/>
      <c s="1370"/>
      <c s="1370"/>
      <c r="S30" s="2252" t="s">
        <v>43</v>
      </c>
      <c s="2252"/>
      <c s="1374"/>
      <c s="2253" t="str">
        <f>IF(TITLE_IST_PUB_CHANGE="",IF(TITLE_IST_PUB="","",TITLE_IST_PUB),TITLE_IST_PUB_CHANGE)</f>
        <v/>
      </c>
      <c s="2253"/>
      <c s="2253"/>
      <c s="2253"/>
      <c s="2253"/>
      <c s="1637"/>
      <c s="1637"/>
      <c s="2253"/>
      <c s="2253"/>
      <c s="2253"/>
      <c s="2253"/>
      <c s="2253"/>
      <c s="2253"/>
      <c s="1637"/>
      <c s="1637"/>
      <c s="282"/>
      <c s="370"/>
      <c s="370"/>
      <c s="370"/>
      <c s="370"/>
      <c s="370"/>
      <c s="420">
        <v>0</v>
      </c>
    </row>
    <row r="31" spans="17:43" ht="14.25" customHeight="1" hidden="1">
      <c r="Q31" s="293"/>
      <c s="378"/>
      <c s="1277"/>
      <c s="459"/>
      <c s="459"/>
      <c s="324"/>
      <c s="324"/>
      <c s="324"/>
      <c s="324"/>
      <c s="324"/>
      <c s="324"/>
      <c s="324"/>
      <c s="324"/>
      <c s="324"/>
      <c s="324"/>
      <c s="324"/>
      <c s="324"/>
      <c s="324"/>
      <c s="324"/>
      <c s="1637"/>
      <c r="AQ31" s="1633">
        <v>0</v>
      </c>
    </row>
    <row r="32" spans="1:43" s="1855" customFormat="1" ht="18.75" customHeight="1" hidden="1">
      <c r="A32" s="1250"/>
      <c s="1250"/>
      <c s="1250"/>
      <c s="1250"/>
      <c s="1250"/>
      <c s="1250"/>
      <c s="1250"/>
      <c s="1250"/>
      <c s="1250"/>
      <c s="1250"/>
      <c s="1250"/>
      <c s="1382"/>
      <c s="1250"/>
      <c s="1250"/>
      <c s="1250"/>
      <c s="1370"/>
      <c s="1370"/>
      <c r="S32" s="2252" t="s">
        <v>423</v>
      </c>
      <c s="2252"/>
      <c s="1374"/>
      <c s="2266" t="str">
        <f>IF(TITLE_DATE_PR_CHANGE="",IF(TITLE_DATE_PR="","",TITLE_DATE_PR),TITLE_DATE_PR_CHANGE)</f>
        <v/>
      </c>
      <c s="2266"/>
      <c s="2266"/>
      <c s="2266"/>
      <c s="2266"/>
      <c s="1637"/>
      <c s="1637"/>
      <c s="2266"/>
      <c s="2266"/>
      <c s="2266"/>
      <c s="2266"/>
      <c s="2266"/>
      <c s="2266"/>
      <c s="1637"/>
      <c s="1637"/>
      <c s="282"/>
      <c s="370"/>
      <c s="370"/>
      <c s="370"/>
      <c s="370"/>
      <c s="370"/>
      <c s="420">
        <v>0</v>
      </c>
    </row>
    <row r="33" spans="1:43" s="1855" customFormat="1" ht="18" customHeight="1" hidden="1">
      <c r="A33" s="1250"/>
      <c s="1250"/>
      <c s="1250"/>
      <c s="1250"/>
      <c s="1250"/>
      <c s="1250"/>
      <c s="1250"/>
      <c s="1250"/>
      <c s="1250"/>
      <c s="1250"/>
      <c s="1250"/>
      <c s="1382"/>
      <c s="1250"/>
      <c s="1250"/>
      <c s="1250"/>
      <c s="1370"/>
      <c s="1370"/>
      <c r="S33" s="2252" t="s">
        <v>424</v>
      </c>
      <c s="2252"/>
      <c s="1374"/>
      <c s="2253" t="str">
        <f>IF(TITLE_NUMBER_PR_CHANGE="",IF(TITLE_NUMBER_PR="","",TITLE_NUMBER_PR),TITLE_NUMBER_PR_CHANGE)</f>
        <v/>
      </c>
      <c s="2253"/>
      <c s="2253"/>
      <c s="2253"/>
      <c s="2253"/>
      <c s="1637"/>
      <c s="1637"/>
      <c s="2253"/>
      <c s="2253"/>
      <c s="2253"/>
      <c s="2253"/>
      <c s="2253"/>
      <c s="2253"/>
      <c s="1637"/>
      <c s="1637"/>
      <c s="282"/>
      <c s="370"/>
      <c s="370"/>
      <c s="370"/>
      <c s="370"/>
      <c s="370"/>
      <c s="420">
        <v>0</v>
      </c>
    </row>
    <row r="34" spans="1:43" s="1855" customFormat="1" ht="1.05" customHeight="1">
      <c r="A34" s="1250"/>
      <c s="1250"/>
      <c s="1250"/>
      <c s="1250"/>
      <c s="1250"/>
      <c s="1250"/>
      <c s="1250"/>
      <c s="1250"/>
      <c s="1250"/>
      <c s="1250"/>
      <c s="1250"/>
      <c s="1382"/>
      <c s="1250"/>
      <c s="1250"/>
      <c s="1250"/>
      <c s="1370"/>
      <c s="1370"/>
      <c r="S34" s="1637"/>
      <c s="1637"/>
      <c s="1972"/>
      <c s="1637"/>
      <c s="1637"/>
      <c s="1637"/>
      <c s="1637"/>
      <c s="1637"/>
      <c s="1644" t="s">
        <v>427</v>
      </c>
      <c s="1644"/>
      <c s="1637"/>
      <c s="1637"/>
      <c s="1637"/>
      <c s="1637"/>
      <c s="1637"/>
      <c s="1637"/>
      <c s="1644" t="s">
        <v>427</v>
      </c>
      <c r="AL34" s="370"/>
      <c s="370"/>
      <c s="370"/>
      <c s="370"/>
      <c s="370"/>
      <c s="420">
        <v>1</v>
      </c>
    </row>
    <row r="35" spans="17:43" ht="14.7" customHeight="1">
      <c r="Q35" s="293"/>
      <c s="378"/>
      <c s="1277"/>
      <c s="459"/>
      <c s="1246"/>
      <c s="2254"/>
      <c s="2254"/>
      <c s="2254"/>
      <c s="2254"/>
      <c s="2254"/>
      <c s="2254"/>
      <c s="1959"/>
      <c s="2254"/>
      <c s="2254"/>
      <c s="2254"/>
      <c s="2254"/>
      <c s="2254"/>
      <c s="2254"/>
      <c s="2254"/>
      <c r="AQ35" s="1633">
        <v>14</v>
      </c>
    </row>
    <row r="36" spans="17:43" ht="14.7" customHeight="1">
      <c r="Q36" s="293"/>
      <c s="378"/>
      <c s="2129" t="s">
        <v>300</v>
      </c>
      <c s="2129"/>
      <c s="2129"/>
      <c s="2129"/>
      <c s="2129"/>
      <c s="2129"/>
      <c s="2129"/>
      <c s="2129"/>
      <c s="2177"/>
      <c s="2177"/>
      <c s="2177"/>
      <c s="2129"/>
      <c s="2129"/>
      <c s="2129"/>
      <c s="2129"/>
      <c s="2129"/>
      <c s="2129"/>
      <c s="2129"/>
      <c s="2129" t="s">
        <v>301</v>
      </c>
      <c r="AQ36" s="1633">
        <v>14</v>
      </c>
    </row>
    <row r="37" spans="17:43" ht="14.7" customHeight="1">
      <c r="Q37" s="293"/>
      <c s="378"/>
      <c s="2275" t="s">
        <v>87</v>
      </c>
      <c s="2211" t="s">
        <v>499</v>
      </c>
      <c s="339"/>
      <c s="2277"/>
      <c s="2277"/>
      <c s="2277"/>
      <c s="2277"/>
      <c s="2277"/>
      <c s="2211" t="s">
        <v>430</v>
      </c>
      <c s="2210" t="s">
        <v>500</v>
      </c>
      <c s="2210" t="s">
        <v>474</v>
      </c>
      <c s="2293" t="s">
        <v>429</v>
      </c>
      <c s="2293"/>
      <c s="2277"/>
      <c s="2277"/>
      <c s="2278"/>
      <c s="2279" t="s">
        <v>430</v>
      </c>
      <c s="2282" t="s">
        <v>432</v>
      </c>
      <c s="2129"/>
      <c r="AQ37" s="1633">
        <v>14</v>
      </c>
    </row>
    <row r="38" spans="17:43" ht="35.7" customHeight="1">
      <c r="Q38" s="293"/>
      <c s="378"/>
      <c s="2275"/>
      <c s="2211"/>
      <c s="1033"/>
      <c s="2105" t="s">
        <v>477</v>
      </c>
      <c s="2129"/>
      <c s="2296" t="s">
        <v>436</v>
      </c>
      <c s="2315"/>
      <c s="2315"/>
      <c s="2211"/>
      <c s="2210"/>
      <c s="2210"/>
      <c s="2105" t="s">
        <v>477</v>
      </c>
      <c s="2129"/>
      <c s="2315" t="s">
        <v>436</v>
      </c>
      <c s="2315"/>
      <c s="2316"/>
      <c s="2280"/>
      <c s="2283"/>
      <c s="2129"/>
      <c r="AQ38" s="1633">
        <v>34</v>
      </c>
    </row>
    <row r="39" spans="17:43" ht="14.7" customHeight="1">
      <c r="Q39" s="293"/>
      <c s="378"/>
      <c s="2275"/>
      <c s="2211"/>
      <c s="1033"/>
      <c s="2342" t="str">
        <f>IF($AD$39&lt;&gt;"",$AD$39,"")</f>
        <v/>
      </c>
      <c s="2342"/>
      <c s="2297"/>
      <c s="2317"/>
      <c s="2317"/>
      <c s="2211"/>
      <c s="2210"/>
      <c s="2210"/>
      <c s="2358"/>
      <c s="2341"/>
      <c s="2317"/>
      <c s="2317"/>
      <c s="2318"/>
      <c s="2280"/>
      <c s="2283"/>
      <c s="2129"/>
      <c r="AQ39" s="1633">
        <v>14</v>
      </c>
    </row>
    <row r="40" spans="1:43" ht="14.7" customHeight="1">
      <c r="A40" s="1268"/>
      <c s="1268" t="s">
        <v>137</v>
      </c>
      <c s="1268" t="s">
        <v>138</v>
      </c>
      <c s="1268" t="s">
        <v>139</v>
      </c>
      <c s="1312" t="s">
        <v>437</v>
      </c>
      <c s="1312" t="s">
        <v>438</v>
      </c>
      <c s="1312" t="s">
        <v>439</v>
      </c>
      <c s="1312" t="s">
        <v>440</v>
      </c>
      <c s="1312" t="s">
        <v>441</v>
      </c>
      <c s="1312" t="s">
        <v>442</v>
      </c>
      <c s="1312" t="s">
        <v>443</v>
      </c>
      <c s="1312" t="s">
        <v>418</v>
      </c>
      <c r="Q40" s="293"/>
      <c s="378"/>
      <c s="2275"/>
      <c s="2211"/>
      <c s="304"/>
      <c s="1952" t="s">
        <v>478</v>
      </c>
      <c s="1952" t="s">
        <v>479</v>
      </c>
      <c s="1940" t="s">
        <v>446</v>
      </c>
      <c s="2272" t="s">
        <v>447</v>
      </c>
      <c s="2322"/>
      <c s="2211"/>
      <c s="2210"/>
      <c s="2210"/>
      <c s="1970" t="s">
        <v>478</v>
      </c>
      <c s="1961" t="s">
        <v>479</v>
      </c>
      <c s="1940" t="s">
        <v>446</v>
      </c>
      <c s="2272" t="s">
        <v>447</v>
      </c>
      <c s="2273"/>
      <c s="2281"/>
      <c s="2284"/>
      <c s="2129"/>
      <c r="AQ40" s="1633">
        <v>14</v>
      </c>
    </row>
    <row r="41" spans="1:43" s="1643" customFormat="1" ht="11.25" customHeight="1" hidden="1">
      <c r="A41" s="1268"/>
      <c s="1268"/>
      <c s="1268"/>
      <c s="1268"/>
      <c s="1268"/>
      <c s="1268"/>
      <c s="1268"/>
      <c s="1268"/>
      <c s="1268"/>
      <c s="1268"/>
      <c s="1268"/>
      <c s="1312"/>
      <c s="1967"/>
      <c s="1967"/>
      <c s="1967"/>
      <c s="512"/>
      <c s="1256"/>
      <c s="1256">
        <v>1</v>
      </c>
      <c s="1279" t="s">
        <v>109</v>
      </c>
      <c s="1257" t="s">
        <v>110</v>
      </c>
      <c s="1247" t="str">
        <f ca="1">OFFSET(U41,0,-1)</f>
        <v>2</v>
      </c>
      <c s="1958">
        <f ca="1">OFFSET(V41,0,-1)+1</f>
        <v>3</v>
      </c>
      <c s="1958">
        <f ca="1">OFFSET(W41,0,-1)+1</f>
        <v>4</v>
      </c>
      <c s="1958">
        <f ca="1">OFFSET(X41,0,-1)+1</f>
        <v>5</v>
      </c>
      <c s="2274">
        <f ca="1">OFFSET(Y41,0,-1)+1</f>
        <v>6</v>
      </c>
      <c s="2274"/>
      <c s="1343">
        <f ca="1">OFFSET(AA41,0,-2)+1</f>
        <v>7</v>
      </c>
      <c s="1343"/>
      <c s="1343"/>
      <c s="1958">
        <f ca="1">OFFSET(AD41,0,-1)+1</f>
        <v>1</v>
      </c>
      <c s="1958">
        <f ca="1">OFFSET(AE41,0,-1)+1</f>
        <v>2</v>
      </c>
      <c s="1958">
        <f ca="1">OFFSET(AF41,0,-1)+1</f>
        <v>3</v>
      </c>
      <c s="2274">
        <f ca="1">OFFSET(AG41,0,-1)+1</f>
        <v>4</v>
      </c>
      <c s="2274"/>
      <c s="1958">
        <f ca="1">OFFSET(AI41,0,-2)+1</f>
        <v>5</v>
      </c>
      <c s="1247">
        <f ca="1">OFFSET(AJ41,0,-1)</f>
        <v>5</v>
      </c>
      <c s="1958">
        <f ca="1">OFFSET(AK41,0,-1)+1</f>
        <v>6</v>
      </c>
      <c s="1638"/>
      <c s="1638"/>
      <c s="1638"/>
      <c s="1638"/>
      <c s="1638"/>
      <c s="1643">
        <v>0</v>
      </c>
    </row>
    <row r="42" spans="1:43" ht="107.25" customHeight="1">
      <c r="A42" s="1269" t="s">
        <v>206</v>
      </c>
      <c s="1269"/>
      <c s="1269"/>
      <c s="1269"/>
      <c s="2291">
        <v>1</v>
      </c>
      <c s="1269"/>
      <c s="1269"/>
      <c s="1269"/>
      <c s="1269"/>
      <c s="1269"/>
      <c s="1269"/>
      <c s="1312"/>
      <c s="1612"/>
      <c s="1612"/>
      <c s="1612"/>
      <c s="1411"/>
      <c s="875"/>
      <c s="357"/>
      <c s="1960">
        <f>INDEX(PT_DIFFERENTIATION_NUM_NTAR,MATCH(A42,PT_DIFFERENTIATION_NTAR_ID,0))</f>
        <v>0</v>
      </c>
      <c s="1527" t="s">
        <v>125</v>
      </c>
      <c s="302"/>
      <c s="2245"/>
      <c s="2245"/>
      <c s="2245"/>
      <c s="2245"/>
      <c s="2245"/>
      <c s="2246"/>
      <c s="1954"/>
      <c s="2245" t="str">
        <f>INDEX(PT_DIFFERENTIATION_NTAR,MATCH(A42,PT_DIFFERENTIATION_NTAR_ID,0))</f>
        <v/>
      </c>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s="1626" t="str">
        <f>IF(T42="","",T42)</f>
        <v>Наименование тарифа</v>
      </c>
      <c s="1626"/>
      <c s="1626"/>
      <c s="1633">
        <v>102</v>
      </c>
    </row>
    <row r="43" spans="1:43" ht="22.05" customHeight="1">
      <c r="A43" s="1269" t="s">
        <v>206</v>
      </c>
      <c s="1269" t="s">
        <v>207</v>
      </c>
      <c s="1269"/>
      <c s="1269"/>
      <c s="2292"/>
      <c s="2291">
        <v>1</v>
      </c>
      <c s="1269"/>
      <c s="1269"/>
      <c s="1269"/>
      <c s="1269"/>
      <c s="1269"/>
      <c s="1312"/>
      <c s="1612"/>
      <c s="1612"/>
      <c s="1612"/>
      <c s="1971"/>
      <c s="1413"/>
      <c s="355"/>
      <c s="1960" t="str">
        <f>INDEX(PT_DIFFERENTIATION_NUM_TER,MATCH(B43,PT_DIFFERENTIATION_TER_ID,0))</f>
        <v>.</v>
      </c>
      <c s="1524" t="s">
        <v>397</v>
      </c>
      <c s="302"/>
      <c s="2245"/>
      <c s="2245"/>
      <c s="2245"/>
      <c s="2245"/>
      <c s="2245"/>
      <c s="2246"/>
      <c s="1954"/>
      <c s="2245" t="str">
        <f>INDEX(PT_DIFFERENTIATION_TER,MATCH(B43,PT_DIFFERENTIATION_TER_ID,0))</f>
        <v/>
      </c>
      <c s="2245"/>
      <c s="2245"/>
      <c s="2245"/>
      <c s="2245"/>
      <c s="2245"/>
      <c s="2245"/>
      <c s="2246"/>
      <c s="1260" t="s">
        <v>398</v>
      </c>
      <c r="AM43" s="1626"/>
      <c s="1626" t="str">
        <f>IF(T43="","",T43)</f>
        <v>Территория действия тарифа</v>
      </c>
      <c s="1626"/>
      <c s="1626"/>
      <c s="1633">
        <v>21</v>
      </c>
    </row>
    <row r="44" spans="1:43" ht="24" customHeight="1">
      <c r="A44" s="1269" t="s">
        <v>206</v>
      </c>
      <c s="1269" t="s">
        <v>207</v>
      </c>
      <c s="1269" t="s">
        <v>208</v>
      </c>
      <c s="1269"/>
      <c s="2292"/>
      <c s="2292"/>
      <c s="2291">
        <v>1</v>
      </c>
      <c s="1269"/>
      <c s="1269"/>
      <c s="1269"/>
      <c s="1269"/>
      <c s="1312"/>
      <c s="1612"/>
      <c s="1612"/>
      <c s="1612"/>
      <c s="1414"/>
      <c s="1413"/>
      <c s="355"/>
      <c s="1960" t="str">
        <f>INDEX(PT_DIFFERENTIATION_NUM_CS,MATCH(C44,PT_DIFFERENTIATION_CS_ID,0))</f>
        <v>..</v>
      </c>
      <c s="311" t="s">
        <v>399</v>
      </c>
      <c s="302"/>
      <c s="2245"/>
      <c s="2245"/>
      <c s="2245"/>
      <c s="2245"/>
      <c s="2245"/>
      <c s="2246"/>
      <c s="1954"/>
      <c s="2245" t="str">
        <f>INDEX(PT_DIFFERENTIATION_CS,MATCH(C44,PT_DIFFERENTIATION_CS_ID,0))</f>
        <v/>
      </c>
      <c s="2245"/>
      <c s="2245"/>
      <c s="2245"/>
      <c s="2245"/>
      <c s="2245"/>
      <c s="2245"/>
      <c s="2246"/>
      <c s="1260" t="s">
        <v>400</v>
      </c>
      <c r="AM44" s="1626"/>
      <c s="1626" t="str">
        <f>IF(T44="","",T44)</f>
        <v>Наименование системы теплоснабжения</v>
      </c>
      <c s="1626"/>
      <c s="1626"/>
      <c s="1633">
        <v>23</v>
      </c>
    </row>
    <row r="45" spans="1:43" ht="22.05" customHeight="1">
      <c r="A45" s="1269" t="s">
        <v>206</v>
      </c>
      <c s="1269" t="s">
        <v>207</v>
      </c>
      <c s="1269" t="s">
        <v>208</v>
      </c>
      <c s="1269" t="s">
        <v>209</v>
      </c>
      <c s="2292"/>
      <c s="2292"/>
      <c s="2292"/>
      <c s="2291">
        <v>1</v>
      </c>
      <c s="1269"/>
      <c s="1269"/>
      <c s="1269"/>
      <c s="1312"/>
      <c s="1612"/>
      <c s="1612"/>
      <c s="1612"/>
      <c s="1414"/>
      <c s="1413"/>
      <c s="355"/>
      <c s="1960" t="str">
        <f>INDEX(PT_DIFFERENTIATION_NUM_IST_TE,MATCH(D45,PT_DIFFERENTIATION_IST_TE_ID,0))</f>
        <v>...</v>
      </c>
      <c s="312" t="s">
        <v>401</v>
      </c>
      <c s="302"/>
      <c s="2245"/>
      <c s="2245"/>
      <c s="2245"/>
      <c s="2245"/>
      <c s="2245"/>
      <c s="2246"/>
      <c s="1954"/>
      <c s="2245" t="str">
        <f>INDEX(PT_DIFFERENTIATION_IST_TE,MATCH(D45,PT_DIFFERENTIATION_IST_TE_ID,0))</f>
        <v/>
      </c>
      <c s="2245"/>
      <c s="2245"/>
      <c s="2245"/>
      <c s="2245"/>
      <c s="2245"/>
      <c s="2245"/>
      <c s="2246"/>
      <c s="1260" t="s">
        <v>402</v>
      </c>
      <c r="AM45" s="1626"/>
      <c s="1626" t="str">
        <f>IF(T45="","",T45)</f>
        <v>Источник тепловой энергии</v>
      </c>
      <c s="1626"/>
      <c s="1626"/>
      <c s="1633">
        <v>21</v>
      </c>
    </row>
    <row r="46" spans="1:43" s="1644" customFormat="1" ht="0" customHeight="1">
      <c r="A46" s="1377" t="s">
        <v>206</v>
      </c>
      <c s="1377" t="s">
        <v>207</v>
      </c>
      <c s="1377" t="s">
        <v>208</v>
      </c>
      <c s="1377" t="s">
        <v>209</v>
      </c>
      <c s="2292"/>
      <c s="2292"/>
      <c s="2292"/>
      <c s="2292"/>
      <c s="2129" t="str">
        <f>S45&amp;".1"</f>
        <v>....1</v>
      </c>
      <c s="1377"/>
      <c s="1377"/>
      <c s="1383" t="s">
        <v>403</v>
      </c>
      <c s="1248"/>
      <c s="1248"/>
      <c s="1248"/>
      <c s="2259">
        <v>1</v>
      </c>
      <c s="1956"/>
      <c s="358"/>
      <c s="1044"/>
      <c s="1385"/>
      <c s="1386"/>
      <c s="2299"/>
      <c s="2299"/>
      <c s="2299"/>
      <c s="2299"/>
      <c s="2299"/>
      <c s="2300"/>
      <c s="1962"/>
      <c s="2299"/>
      <c s="2299"/>
      <c s="2299"/>
      <c s="2299"/>
      <c s="2299"/>
      <c s="2299"/>
      <c s="2299"/>
      <c s="2300"/>
      <c s="1387"/>
      <c r="AM46" s="1626"/>
      <c s="1626" t="str">
        <f>IF(T46="","",T46)</f>
        <v/>
      </c>
      <c s="1626"/>
      <c s="1626"/>
      <c s="1638">
        <v>0</v>
      </c>
    </row>
    <row r="47" spans="1:43" s="1644" customFormat="1" ht="0" customHeight="1">
      <c r="A47" s="1377" t="s">
        <v>206</v>
      </c>
      <c s="1377" t="s">
        <v>207</v>
      </c>
      <c s="1377" t="s">
        <v>208</v>
      </c>
      <c s="1377" t="s">
        <v>209</v>
      </c>
      <c s="2292"/>
      <c s="2292"/>
      <c s="2292"/>
      <c s="2292"/>
      <c s="2103"/>
      <c s="2129" t="str">
        <f>S45&amp;".1"</f>
        <v>....1</v>
      </c>
      <c s="1377"/>
      <c s="1383"/>
      <c s="1248"/>
      <c s="1248"/>
      <c s="1248"/>
      <c s="2259"/>
      <c s="2259">
        <v>1</v>
      </c>
      <c s="359"/>
      <c s="1044"/>
      <c s="1401"/>
      <c s="1386"/>
      <c s="2299"/>
      <c s="2299"/>
      <c s="2299"/>
      <c s="2299"/>
      <c s="2299"/>
      <c s="2300"/>
      <c s="1962"/>
      <c s="2299"/>
      <c s="2299"/>
      <c s="2299"/>
      <c s="2299"/>
      <c s="2299"/>
      <c s="2299"/>
      <c s="2299"/>
      <c s="2300"/>
      <c s="1387"/>
      <c r="AM47" s="1626"/>
      <c s="1626" t="str">
        <f>IF(T47="","",T47)</f>
        <v/>
      </c>
      <c s="1626"/>
      <c s="1626"/>
      <c s="1638">
        <v>0</v>
      </c>
    </row>
    <row r="48" spans="1:43" ht="22.05" customHeight="1">
      <c r="A48" s="1269" t="s">
        <v>206</v>
      </c>
      <c s="1269" t="s">
        <v>207</v>
      </c>
      <c s="1269" t="s">
        <v>208</v>
      </c>
      <c s="1269" t="s">
        <v>209</v>
      </c>
      <c s="2292"/>
      <c s="2292"/>
      <c s="2292"/>
      <c s="2292"/>
      <c s="2103"/>
      <c s="2103"/>
      <c s="1943" t="str">
        <f>S45&amp;".1"</f>
        <v>....1</v>
      </c>
      <c s="1312"/>
      <c r="P48" s="2259"/>
      <c s="2259"/>
      <c s="359">
        <v>1</v>
      </c>
      <c s="1964" t="str">
        <f>$K48</f>
        <v>....1</v>
      </c>
      <c s="1963"/>
      <c s="302"/>
      <c s="753"/>
      <c s="1259"/>
      <c s="1957"/>
      <c s="1944" t="s">
        <v>65</v>
      </c>
      <c s="1957"/>
      <c s="1944" t="s">
        <v>65</v>
      </c>
      <c s="1966"/>
      <c s="1965" t="s">
        <v>22</v>
      </c>
      <c s="753"/>
      <c s="1259"/>
      <c s="1957"/>
      <c s="1944" t="s">
        <v>65</v>
      </c>
      <c s="1957"/>
      <c s="1944" t="s">
        <v>65</v>
      </c>
      <c s="1350"/>
      <c s="2255" t="s">
        <v>480</v>
      </c>
      <c s="1638">
        <f>STRCHECKDATE(#REF!)</f>
      </c>
      <c s="1626"/>
      <c s="1626" t="str">
        <f>IF(T48="","",T48)</f>
        <v/>
      </c>
      <c s="1626"/>
      <c s="1626"/>
      <c s="1633">
        <v>21</v>
      </c>
    </row>
    <row r="49" spans="1:43" ht="11.55" customHeight="1">
      <c r="A49" s="1269" t="s">
        <v>206</v>
      </c>
      <c s="1269" t="s">
        <v>207</v>
      </c>
      <c s="1269" t="s">
        <v>208</v>
      </c>
      <c s="1269" t="s">
        <v>209</v>
      </c>
      <c s="2292"/>
      <c s="2292"/>
      <c s="2292"/>
      <c s="2292"/>
      <c s="2103"/>
      <c s="2129"/>
      <c s="1269"/>
      <c s="1312"/>
      <c r="P49" s="2259"/>
      <c s="2259"/>
      <c s="358"/>
      <c s="1280"/>
      <c s="289" t="s">
        <v>468</v>
      </c>
      <c s="602"/>
      <c s="602"/>
      <c s="602"/>
      <c s="602"/>
      <c s="602"/>
      <c s="602"/>
      <c s="326"/>
      <c s="602"/>
      <c s="602"/>
      <c s="602"/>
      <c s="602"/>
      <c s="602"/>
      <c s="602"/>
      <c s="602"/>
      <c s="602"/>
      <c s="326"/>
      <c s="2257"/>
      <c r="AM49" s="1626"/>
      <c s="1626" t="str">
        <f>IF(T49="","",T49)</f>
        <v>Добавить строку</v>
      </c>
      <c s="1626"/>
      <c s="1626"/>
      <c s="1633">
        <v>11</v>
      </c>
    </row>
    <row r="50" spans="1:43" s="1644" customFormat="1" ht="1.05" customHeight="1">
      <c r="A50" s="1377" t="s">
        <v>206</v>
      </c>
      <c s="1377" t="s">
        <v>207</v>
      </c>
      <c s="1377" t="s">
        <v>208</v>
      </c>
      <c s="1377" t="s">
        <v>209</v>
      </c>
      <c s="2292"/>
      <c s="2292"/>
      <c s="2292"/>
      <c s="2292"/>
      <c s="2129"/>
      <c s="1377"/>
      <c s="1377"/>
      <c s="1383"/>
      <c s="1248"/>
      <c s="1248"/>
      <c s="1248"/>
      <c s="2259"/>
      <c s="1956"/>
      <c s="358"/>
      <c s="1388"/>
      <c s="1389" t="s">
        <v>412</v>
      </c>
      <c s="1390"/>
      <c s="1390"/>
      <c s="1390"/>
      <c s="1390"/>
      <c s="1390"/>
      <c s="1390"/>
      <c s="1390"/>
      <c s="1390"/>
      <c s="1390"/>
      <c s="1390"/>
      <c s="1390"/>
      <c s="1390"/>
      <c s="1390"/>
      <c s="1390"/>
      <c s="1390"/>
      <c s="1390"/>
      <c s="1391"/>
      <c r="AM50" s="1626"/>
      <c s="1626" t="str">
        <f>IF(T50="","",T50)</f>
        <v>Добавить группу потребителей</v>
      </c>
      <c s="1626"/>
      <c s="1626"/>
      <c s="1638">
        <v>1</v>
      </c>
    </row>
    <row r="51" spans="1:43" s="1643" customFormat="1" ht="1.05" customHeight="1">
      <c r="A51" s="1377" t="s">
        <v>206</v>
      </c>
      <c s="1377" t="s">
        <v>207</v>
      </c>
      <c s="1377" t="s">
        <v>208</v>
      </c>
      <c s="1377" t="s">
        <v>209</v>
      </c>
      <c s="2292"/>
      <c s="2292"/>
      <c s="2292"/>
      <c s="2291"/>
      <c s="1377"/>
      <c s="1377"/>
      <c s="1377"/>
      <c s="1383"/>
      <c s="1380"/>
      <c s="1380"/>
      <c s="353"/>
      <c s="382"/>
      <c s="1346"/>
      <c s="1402"/>
      <c s="1388"/>
      <c s="1389"/>
      <c s="1390"/>
      <c s="1390"/>
      <c s="1390"/>
      <c s="1390"/>
      <c s="1390"/>
      <c s="1390"/>
      <c s="1390"/>
      <c s="1390"/>
      <c s="1390"/>
      <c s="1390"/>
      <c s="1390"/>
      <c s="1390"/>
      <c s="1390"/>
      <c s="1390"/>
      <c s="1390"/>
      <c s="1390"/>
      <c s="1391"/>
      <c s="1638"/>
      <c s="1626"/>
      <c s="1626" t="str">
        <f>IF(T51="","",T51)</f>
        <v/>
      </c>
      <c s="1626"/>
      <c s="1626"/>
      <c s="1643">
        <v>1</v>
      </c>
    </row>
    <row r="52" spans="1:43" s="1644" customFormat="1" ht="1.05" customHeight="1">
      <c r="A52" s="1377" t="s">
        <v>206</v>
      </c>
      <c s="1377" t="s">
        <v>207</v>
      </c>
      <c s="1377" t="s">
        <v>208</v>
      </c>
      <c s="1376"/>
      <c s="2292"/>
      <c s="2292"/>
      <c s="2291"/>
      <c s="1376"/>
      <c s="1376"/>
      <c s="1376"/>
      <c s="1376"/>
      <c s="1379"/>
      <c s="1380"/>
      <c s="1380"/>
      <c s="353"/>
      <c s="1318"/>
      <c s="1319"/>
      <c s="1318"/>
      <c s="1324"/>
      <c s="1327" t="s">
        <v>414</v>
      </c>
      <c s="1326"/>
      <c s="1326"/>
      <c s="1326"/>
      <c s="1326"/>
      <c s="1326"/>
      <c s="1326"/>
      <c s="1326"/>
      <c s="1326"/>
      <c s="1326"/>
      <c s="1326"/>
      <c s="1326"/>
      <c s="1326"/>
      <c s="1326"/>
      <c s="1326"/>
      <c s="1326"/>
      <c s="1326"/>
      <c s="1326"/>
      <c r="AM52" s="1253"/>
      <c s="1253" t="str">
        <f>IF(T52="","",T52)</f>
        <v>Добавить источник для дифференциации</v>
      </c>
      <c s="1253"/>
      <c s="1253"/>
      <c s="1644">
        <v>1</v>
      </c>
    </row>
    <row r="53" spans="1:43" s="1644" customFormat="1" ht="1.05" customHeight="1">
      <c r="A53" s="1377" t="s">
        <v>206</v>
      </c>
      <c s="1377" t="s">
        <v>207</v>
      </c>
      <c s="1376"/>
      <c s="1376"/>
      <c s="2292"/>
      <c s="2291"/>
      <c s="1376"/>
      <c s="1376"/>
      <c s="1376"/>
      <c s="1376"/>
      <c s="1376"/>
      <c s="1379"/>
      <c s="1381"/>
      <c s="1381"/>
      <c s="353"/>
      <c s="1318"/>
      <c s="1319"/>
      <c s="1318"/>
      <c s="1324"/>
      <c s="1327" t="s">
        <v>415</v>
      </c>
      <c s="1326"/>
      <c s="1326"/>
      <c s="1326"/>
      <c s="1326"/>
      <c s="1326"/>
      <c s="1326"/>
      <c s="1326"/>
      <c s="1326"/>
      <c s="1326"/>
      <c s="1326"/>
      <c s="1326"/>
      <c s="1326"/>
      <c s="1326"/>
      <c s="1326"/>
      <c s="1326"/>
      <c s="1326"/>
      <c s="1326"/>
      <c r="AM53" s="1253"/>
      <c s="1253" t="str">
        <f>IF(T53="","",T53)</f>
        <v>Добавить централизованную систему для дифференциации</v>
      </c>
      <c s="1253"/>
      <c s="1253"/>
      <c s="1644">
        <v>1</v>
      </c>
    </row>
    <row r="54" spans="1:43" s="1644" customFormat="1" ht="1.05" customHeight="1">
      <c r="A54" s="1377" t="s">
        <v>206</v>
      </c>
      <c s="1377"/>
      <c s="1377"/>
      <c s="1377"/>
      <c s="2292"/>
      <c s="1377"/>
      <c s="1377"/>
      <c s="1377"/>
      <c s="1377"/>
      <c s="1377"/>
      <c s="1377"/>
      <c s="1383"/>
      <c s="1381"/>
      <c s="1381"/>
      <c s="353"/>
      <c s="382"/>
      <c s="1346"/>
      <c s="382"/>
      <c s="1324"/>
      <c s="1327" t="s">
        <v>416</v>
      </c>
      <c s="1326"/>
      <c s="1326"/>
      <c s="1326"/>
      <c s="1326"/>
      <c s="1326"/>
      <c s="1326"/>
      <c s="1326"/>
      <c s="1326"/>
      <c s="1326"/>
      <c s="1326"/>
      <c s="1326"/>
      <c s="1326"/>
      <c s="1326"/>
      <c s="1326"/>
      <c s="1326"/>
      <c s="1326"/>
      <c s="1326"/>
      <c r="AM54" s="1626"/>
      <c s="1626" t="str">
        <f>IF(T54="","",T54)</f>
        <v>Добавить территорию для дифференциации</v>
      </c>
      <c s="1626"/>
      <c s="1626"/>
      <c s="1638">
        <v>1</v>
      </c>
    </row>
    <row r="55" spans="1:43" s="1644" customFormat="1" ht="1.05" customHeight="1">
      <c r="A55" s="1377" t="s">
        <v>206</v>
      </c>
      <c s="1377"/>
      <c s="1377"/>
      <c s="1377"/>
      <c s="2291"/>
      <c s="1377"/>
      <c s="1377"/>
      <c s="1377"/>
      <c s="1377"/>
      <c s="1377"/>
      <c s="1377"/>
      <c s="1383"/>
      <c s="1381"/>
      <c s="1381"/>
      <c s="353"/>
      <c s="382"/>
      <c s="1346"/>
      <c s="382"/>
      <c s="1324"/>
      <c s="1327" t="s">
        <v>416</v>
      </c>
      <c s="1326"/>
      <c s="1326"/>
      <c s="1326"/>
      <c s="1326"/>
      <c s="1326"/>
      <c s="1326"/>
      <c s="1326"/>
      <c s="1326"/>
      <c s="1326"/>
      <c s="1326"/>
      <c s="1326"/>
      <c s="1326"/>
      <c s="1326"/>
      <c s="1326"/>
      <c s="1326"/>
      <c s="1326"/>
      <c s="1326"/>
      <c r="AM55" s="1626"/>
      <c s="1626" t="str">
        <f>IF(T55="","",T55)</f>
        <v>Добавить территорию для дифференциации</v>
      </c>
      <c s="1626"/>
      <c s="1626"/>
      <c s="1638">
        <v>1</v>
      </c>
    </row>
    <row r="56" spans="1:43" s="1644" customFormat="1" ht="1.05" customHeight="1">
      <c r="A56" s="1376"/>
      <c s="1376"/>
      <c s="1376"/>
      <c s="1376"/>
      <c s="1377"/>
      <c s="1376"/>
      <c s="1376"/>
      <c s="1376"/>
      <c s="1376"/>
      <c s="1376"/>
      <c s="1376"/>
      <c s="1379"/>
      <c s="1381"/>
      <c s="1381"/>
      <c s="353"/>
      <c s="1318"/>
      <c s="1319"/>
      <c s="1318"/>
      <c s="1324"/>
      <c s="1327" t="s">
        <v>448</v>
      </c>
      <c s="1326"/>
      <c s="1326"/>
      <c s="1326"/>
      <c s="1326"/>
      <c s="1326"/>
      <c s="1326"/>
      <c s="1326"/>
      <c s="1326"/>
      <c s="1326"/>
      <c s="1326"/>
      <c s="1326"/>
      <c s="1326"/>
      <c s="1326"/>
      <c s="1326"/>
      <c s="1326"/>
      <c s="1326"/>
      <c s="1326"/>
      <c r="AM56" s="1253"/>
      <c s="1253" t="str">
        <f>IF(T56="","",T56)</f>
        <v>Добавить наименование тарифа</v>
      </c>
      <c s="1253"/>
      <c s="1253"/>
      <c s="1644">
        <v>1</v>
      </c>
    </row>
    <row r="57" spans="13:43" ht="11.55" customHeight="1">
      <c r="M57" s="1633"/>
      <c s="1633"/>
      <c s="1637"/>
      <c s="1368"/>
      <c s="1368"/>
      <c s="1633"/>
      <c s="1633"/>
      <c r="AL57" s="1633"/>
      <c s="1633"/>
      <c s="1633"/>
      <c s="1633"/>
      <c s="1633"/>
      <c s="1633">
        <v>11</v>
      </c>
    </row>
    <row r="58" spans="15:43" ht="19.95" customHeight="1">
      <c r="O58" s="1637"/>
      <c r="S58" s="1255"/>
      <c s="2287"/>
      <c s="2287"/>
      <c s="2287"/>
      <c s="2287"/>
      <c s="2287"/>
      <c s="2287"/>
      <c s="2287"/>
      <c s="2287"/>
      <c s="2287"/>
      <c s="2287"/>
      <c s="2287"/>
      <c s="2287"/>
      <c s="2287"/>
      <c s="2287"/>
      <c s="2287"/>
      <c s="2287"/>
      <c s="2287"/>
      <c s="2287"/>
      <c r="AQ58" s="1633">
        <v>19</v>
      </c>
    </row>
    <row r="59" spans="15:43" ht="21" customHeight="1">
      <c r="O59" s="1637"/>
      <c r="T59" s="2287"/>
      <c s="2287"/>
      <c s="2287"/>
      <c s="2287"/>
      <c s="2287"/>
      <c s="2287"/>
      <c s="2287"/>
      <c s="2287"/>
      <c s="2287"/>
      <c s="2287"/>
      <c s="2287"/>
      <c s="2287"/>
      <c s="2287"/>
      <c s="2287"/>
      <c s="2287"/>
      <c s="2287"/>
      <c s="2287"/>
      <c s="2287"/>
      <c r="AQ59" s="1633">
        <v>20</v>
      </c>
    </row>
    <row r="60" spans="15:43" ht="14.7" customHeight="1">
      <c r="O60" s="1637"/>
      <c r="T60" s="1955"/>
      <c s="1955"/>
      <c s="1955"/>
      <c s="1955"/>
      <c s="1955"/>
      <c s="1955"/>
      <c s="1955"/>
      <c s="1955"/>
      <c s="1955"/>
      <c s="1955"/>
      <c s="1955"/>
      <c s="1955"/>
      <c s="1955"/>
      <c s="1955"/>
      <c s="1955"/>
      <c s="1955"/>
      <c s="1955"/>
      <c s="1955"/>
      <c r="AQ60" s="1633">
        <v>14</v>
      </c>
    </row>
    <row r="61" spans="15:43" ht="19.95" customHeight="1">
      <c r="O61" s="1637"/>
      <c r="T61" s="2287"/>
      <c s="2287"/>
      <c s="2287"/>
      <c s="2287"/>
      <c s="2287"/>
      <c s="2287"/>
      <c s="2287"/>
      <c s="2287"/>
      <c s="2287"/>
      <c s="2287"/>
      <c s="2287"/>
      <c s="2287"/>
      <c s="2287"/>
      <c s="2287"/>
      <c s="2287"/>
      <c s="2287"/>
      <c s="2287"/>
      <c s="2287"/>
      <c r="AQ61" s="1633">
        <v>19</v>
      </c>
    </row>
    <row r="62" spans="15:43" ht="16.8" customHeight="1">
      <c r="O62" s="1637"/>
      <c r="T62" s="2287"/>
      <c s="2287"/>
      <c s="2287"/>
      <c s="2287"/>
      <c s="2287"/>
      <c s="2287"/>
      <c s="2287"/>
      <c s="2287"/>
      <c s="2287"/>
      <c s="2287"/>
      <c s="2287"/>
      <c s="2287"/>
      <c s="2287"/>
      <c s="2287"/>
      <c s="2287"/>
      <c s="2287"/>
      <c s="2287"/>
      <c s="2287"/>
      <c r="AQ62" s="1633">
        <v>16</v>
      </c>
    </row>
    <row r="63" spans="15:43" ht="14.7" customHeight="1">
      <c r="O63" s="1637"/>
      <c r="AQ63" s="1633">
        <v>14</v>
      </c>
    </row>
    <row r="64" spans="1:43" ht="22.5" customHeight="1" hidden="1">
      <c r="A64" s="1633" t="s">
        <v>81</v>
      </c>
      <c s="1633">
        <v>0</v>
      </c>
      <c s="1633">
        <v>0</v>
      </c>
      <c s="1633">
        <v>0</v>
      </c>
      <c s="1633">
        <v>0</v>
      </c>
      <c s="1633">
        <v>0</v>
      </c>
      <c s="1633">
        <v>0</v>
      </c>
      <c s="1633">
        <v>0</v>
      </c>
      <c s="1633">
        <v>0</v>
      </c>
      <c s="1633">
        <v>0</v>
      </c>
      <c s="1633">
        <v>0</v>
      </c>
      <c s="1941">
        <v>0</v>
      </c>
      <c s="1967">
        <v>0</v>
      </c>
      <c s="1967">
        <v>0</v>
      </c>
      <c s="1967">
        <v>0</v>
      </c>
      <c s="1364">
        <v>3</v>
      </c>
      <c s="1373">
        <v>3</v>
      </c>
      <c s="346">
        <v>3</v>
      </c>
      <c s="583">
        <v>12</v>
      </c>
      <c s="1633">
        <v>31</v>
      </c>
      <c s="1633">
        <v>0</v>
      </c>
      <c s="1633">
        <v>0</v>
      </c>
      <c s="1633">
        <v>0</v>
      </c>
      <c s="1633">
        <v>0</v>
      </c>
      <c s="1633">
        <v>0</v>
      </c>
      <c s="1633">
        <v>0</v>
      </c>
      <c s="1633">
        <v>0</v>
      </c>
      <c s="1633">
        <v>27</v>
      </c>
      <c s="1633">
        <v>24</v>
      </c>
      <c s="1633">
        <v>21</v>
      </c>
      <c s="1633">
        <v>21</v>
      </c>
      <c s="1633">
        <v>11</v>
      </c>
      <c s="1633">
        <v>3</v>
      </c>
      <c s="1633">
        <v>11</v>
      </c>
      <c s="1633">
        <v>8</v>
      </c>
      <c s="1633">
        <v>4</v>
      </c>
      <c s="1633">
        <v>115</v>
      </c>
      <c s="1638">
        <v>10</v>
      </c>
      <c s="1638">
        <v>10</v>
      </c>
      <c s="1638">
        <v>10</v>
      </c>
      <c s="1638">
        <v>10</v>
      </c>
      <c s="1638">
        <v>10</v>
      </c>
      <c s="163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ACEA962-FBC1-6ED2-5BB7-0.49524BB9}"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67">
        <f>INDEX(PT_DIFFERENTIATION_NUM_NTAR,MATCH(A2,PT_DIFFERENTIATION_NTAR_ID,0))</f>
      </c>
      <c s="300" t="s">
        <v>125</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67">
        <f>INDEX(PT_DIFFERENTIATION_NUM_TER,MATCH(B3,PT_DIFFERENTIATION_TER_ID,0))</f>
      </c>
      <c s="310" t="s">
        <v>397</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398</v>
      </c>
      <c r="BE3" s="502"/>
      <c s="502" t="str">
        <f>IF(T3="","",T3)</f>
        <v>Территория действия тарифа</v>
      </c>
      <c s="502"/>
      <c s="502"/>
      <c s="1157">
        <v>0</v>
      </c>
    </row>
    <row r="4" spans="1:61" ht="42" customHeight="1" hidden="1">
      <c r="A4" s="1365"/>
      <c s="1365"/>
      <c s="1365"/>
      <c s="1365"/>
      <c s="2261"/>
      <c s="2261"/>
      <c s="2260">
        <v>1</v>
      </c>
      <c s="1365"/>
      <c s="1365"/>
      <c s="1365"/>
      <c s="1365"/>
      <c s="1366"/>
      <c s="1367"/>
      <c s="1367"/>
      <c s="1367"/>
      <c s="1414"/>
      <c s="1413"/>
      <c s="355"/>
      <c s="1467">
        <f>INDEX(PT_DIFFERENTIATION_NUM_CS,MATCH(C4,PT_DIFFERENTIATION_CS_ID,0))</f>
      </c>
      <c s="311" t="s">
        <v>481</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482</v>
      </c>
      <c r="BE4" s="502"/>
      <c s="502" t="str">
        <f>IF(T4="","",T4)</f>
        <v>Наименование централизованной системы холодного водоснабжения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5" s="502"/>
      <c s="502" t="str">
        <f>IF(T5="","",T5)</f>
        <v/>
      </c>
      <c s="502"/>
      <c s="502"/>
      <c s="513">
        <v>0</v>
      </c>
    </row>
    <row r="6" spans="1:61" s="1644" customFormat="1" ht="14.25" customHeight="1" hidden="1">
      <c r="A6" s="1345"/>
      <c s="1345"/>
      <c s="1345"/>
      <c s="1345"/>
      <c s="2261"/>
      <c s="2261"/>
      <c s="2261"/>
      <c s="2261"/>
      <c s="2258" t="str">
        <f>S5&amp;".1"</f>
        <v>.1</v>
      </c>
      <c s="1345"/>
      <c s="1345"/>
      <c s="1348" t="s">
        <v>403</v>
      </c>
      <c s="512"/>
      <c s="512"/>
      <c s="512"/>
      <c s="2259">
        <v>1</v>
      </c>
      <c s="1464"/>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61" t="s">
        <v>65</v>
      </c>
      <c s="1736"/>
      <c s="1461" t="s">
        <v>65</v>
      </c>
      <c s="2187" t="s">
        <v>65</v>
      </c>
      <c s="2328"/>
      <c s="2207">
        <v>1</v>
      </c>
      <c s="2365"/>
      <c s="2109" t="s">
        <v>65</v>
      </c>
      <c s="2328"/>
      <c s="2207">
        <v>1</v>
      </c>
      <c s="2329" t="s">
        <v>22</v>
      </c>
      <c s="2109" t="s">
        <v>65</v>
      </c>
      <c s="2194"/>
      <c s="2207">
        <v>1</v>
      </c>
      <c s="2359"/>
      <c s="2360" t="s">
        <v>65</v>
      </c>
      <c s="313"/>
      <c s="1465">
        <v>1</v>
      </c>
      <c s="1468" t="s">
        <v>22</v>
      </c>
      <c s="753"/>
      <c s="1259"/>
      <c s="753"/>
      <c s="1259"/>
      <c s="1736"/>
      <c s="1461" t="s">
        <v>65</v>
      </c>
      <c s="1736"/>
      <c s="1461" t="s">
        <v>65</v>
      </c>
      <c s="1350"/>
      <c s="2255" t="s">
        <v>501</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503</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504</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505</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468</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64"/>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6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66"/>
      <c s="1323"/>
      <c s="1323"/>
      <c r="P17"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62" t="s">
        <v>65</v>
      </c>
      <c s="1738"/>
      <c s="1462" t="s">
        <v>65</v>
      </c>
      <c r="BI20" s="1157">
        <v>0</v>
      </c>
    </row>
    <row r="21" spans="56:61" ht="14.25" customHeight="1" hidden="1">
      <c r="BD21" s="498"/>
      <c s="498"/>
      <c s="498"/>
      <c s="498"/>
      <c s="498"/>
      <c s="1157">
        <v>0</v>
      </c>
    </row>
    <row r="22" spans="15:29 50:61" ht="14.25" customHeight="1" hidden="1">
      <c r="O22" s="1369" t="s">
        <v>417</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418</v>
      </c>
      <c s="1510"/>
      <c s="1512"/>
      <c s="1512"/>
      <c r="AA24" s="1509" t="s">
        <v>420</v>
      </c>
      <c r="AC24" s="1509" t="s">
        <v>421</v>
      </c>
      <c s="1509" t="s">
        <v>469</v>
      </c>
      <c r="AH24" s="1509" t="s">
        <v>469</v>
      </c>
      <c r="AK24" s="1509" t="s">
        <v>506</v>
      </c>
      <c s="1509" t="s">
        <v>469</v>
      </c>
      <c r="AP24" s="1509" t="s">
        <v>469</v>
      </c>
      <c r="AY24" s="1509" t="s">
        <v>420</v>
      </c>
      <c r="BA24" s="1509" t="s">
        <v>421</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56"/>
      <c s="328"/>
      <c s="328"/>
      <c s="328"/>
      <c s="328"/>
      <c s="328"/>
      <c s="328"/>
      <c s="328"/>
      <c s="280" t="s">
        <v>427</v>
      </c>
      <c s="328"/>
      <c s="328"/>
      <c s="328"/>
      <c s="328"/>
      <c s="328"/>
      <c s="328"/>
      <c s="328"/>
      <c s="328"/>
      <c s="328"/>
      <c s="328"/>
      <c s="328"/>
      <c s="328"/>
      <c s="328"/>
      <c s="328"/>
      <c s="328"/>
      <c s="328"/>
      <c s="328"/>
      <c s="328"/>
      <c s="328"/>
      <c s="328"/>
      <c s="328"/>
      <c s="328"/>
      <c s="328"/>
      <c s="280" t="s">
        <v>427</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300</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301</v>
      </c>
      <c r="BI40" s="1157">
        <v>14</v>
      </c>
    </row>
    <row r="41" spans="17:61" ht="14.7" customHeight="1">
      <c r="Q41" s="293"/>
      <c s="378"/>
      <c s="2275" t="s">
        <v>87</v>
      </c>
      <c s="2211" t="s">
        <v>507</v>
      </c>
      <c s="303"/>
      <c s="2276" t="s">
        <v>429</v>
      </c>
      <c s="2277"/>
      <c s="2277"/>
      <c s="2277"/>
      <c s="2277"/>
      <c s="2277"/>
      <c s="2278"/>
      <c s="2279" t="s">
        <v>430</v>
      </c>
      <c s="2330" t="s">
        <v>508</v>
      </c>
      <c s="2293"/>
      <c s="2293"/>
      <c s="2331"/>
      <c s="2330" t="s">
        <v>509</v>
      </c>
      <c s="2293"/>
      <c s="2293"/>
      <c s="2331"/>
      <c s="2330" t="s">
        <v>510</v>
      </c>
      <c s="2293"/>
      <c s="2293"/>
      <c s="2331"/>
      <c s="2330" t="s">
        <v>511</v>
      </c>
      <c s="2293"/>
      <c s="2293"/>
      <c s="2331"/>
      <c s="2276" t="s">
        <v>429</v>
      </c>
      <c s="2277"/>
      <c s="2277"/>
      <c s="2277"/>
      <c s="2277"/>
      <c s="2277"/>
      <c s="2278"/>
      <c s="2279" t="s">
        <v>430</v>
      </c>
      <c s="2282" t="s">
        <v>432</v>
      </c>
      <c s="2129"/>
      <c r="BI41" s="1157">
        <v>14</v>
      </c>
    </row>
    <row r="42" spans="17:61" ht="35.7" customHeight="1">
      <c r="Q42" s="293"/>
      <c s="378"/>
      <c s="2275"/>
      <c s="2211"/>
      <c s="1033"/>
      <c s="2194" t="s">
        <v>512</v>
      </c>
      <c s="2195"/>
      <c s="2194" t="s">
        <v>513</v>
      </c>
      <c s="2195"/>
      <c s="2296" t="s">
        <v>514</v>
      </c>
      <c s="2315"/>
      <c s="2316"/>
      <c s="2280"/>
      <c s="2332"/>
      <c s="2333"/>
      <c s="2333"/>
      <c s="2334"/>
      <c s="2332"/>
      <c s="2333"/>
      <c s="2333"/>
      <c s="2334"/>
      <c s="2332"/>
      <c s="2333"/>
      <c s="2333"/>
      <c s="2334"/>
      <c s="2332"/>
      <c s="2333"/>
      <c s="2333"/>
      <c s="2334"/>
      <c s="2194" t="s">
        <v>512</v>
      </c>
      <c s="2195"/>
      <c s="2194" t="s">
        <v>513</v>
      </c>
      <c s="2195"/>
      <c s="2296" t="s">
        <v>514</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137</v>
      </c>
      <c s="1372" t="s">
        <v>138</v>
      </c>
      <c s="1372" t="s">
        <v>139</v>
      </c>
      <c s="1366" t="s">
        <v>437</v>
      </c>
      <c s="1366" t="s">
        <v>438</v>
      </c>
      <c s="1366" t="s">
        <v>439</v>
      </c>
      <c s="1366" t="s">
        <v>440</v>
      </c>
      <c s="1366" t="s">
        <v>441</v>
      </c>
      <c s="1366" t="s">
        <v>442</v>
      </c>
      <c s="1366" t="s">
        <v>443</v>
      </c>
      <c s="1366" t="s">
        <v>418</v>
      </c>
      <c r="Q44" s="293"/>
      <c s="378"/>
      <c s="2275"/>
      <c s="2211"/>
      <c s="304"/>
      <c s="1450" t="s">
        <v>478</v>
      </c>
      <c s="1450" t="s">
        <v>479</v>
      </c>
      <c s="1450" t="s">
        <v>478</v>
      </c>
      <c s="1450" t="s">
        <v>479</v>
      </c>
      <c s="1457" t="s">
        <v>446</v>
      </c>
      <c s="2272" t="s">
        <v>447</v>
      </c>
      <c s="2273"/>
      <c s="2281"/>
      <c s="2335"/>
      <c s="2336"/>
      <c s="2336"/>
      <c s="2337"/>
      <c s="2335"/>
      <c s="2336"/>
      <c s="2336"/>
      <c s="2337"/>
      <c s="2335"/>
      <c s="2336"/>
      <c s="2336"/>
      <c s="2337"/>
      <c s="2335"/>
      <c s="2336"/>
      <c s="2336"/>
      <c s="2337"/>
      <c s="1450" t="s">
        <v>478</v>
      </c>
      <c s="1450" t="s">
        <v>479</v>
      </c>
      <c s="1450" t="s">
        <v>478</v>
      </c>
      <c s="1450" t="s">
        <v>479</v>
      </c>
      <c s="1457" t="s">
        <v>446</v>
      </c>
      <c s="2272" t="s">
        <v>447</v>
      </c>
      <c s="2273"/>
      <c s="2281"/>
      <c s="2284"/>
      <c s="2129"/>
      <c r="BI44" s="1157">
        <v>14</v>
      </c>
    </row>
    <row r="45" spans="1:61" s="1643" customFormat="1" ht="11.25" customHeight="1" hidden="1">
      <c r="A45" s="1372"/>
      <c s="1372"/>
      <c s="1372"/>
      <c s="1372"/>
      <c s="1372"/>
      <c s="1372"/>
      <c s="1372"/>
      <c s="1372"/>
      <c s="1372"/>
      <c s="1372"/>
      <c s="1372"/>
      <c s="1366"/>
      <c s="1364"/>
      <c s="1364"/>
      <c s="1364"/>
      <c s="512"/>
      <c s="1256"/>
      <c s="1256">
        <v>1</v>
      </c>
      <c s="1279" t="s">
        <v>109</v>
      </c>
      <c s="1257" t="s">
        <v>110</v>
      </c>
      <c s="1247" t="str">
        <f ca="1">OFFSET(U45,0,-1)</f>
        <v>2</v>
      </c>
      <c s="1453">
        <f ca="1">OFFSET(V45,0,-1)+1</f>
        <v>3</v>
      </c>
      <c s="1453">
        <f ca="1">OFFSET(W45,0,-1)+1</f>
        <v>4</v>
      </c>
      <c s="1453">
        <f ca="1">OFFSET(X45,0,-1)+1</f>
        <v>5</v>
      </c>
      <c s="1453">
        <f ca="1">OFFSET(Y45,0,-1)+1</f>
        <v>6</v>
      </c>
      <c s="1453">
        <f ca="1">OFFSET(Z45,0,-1)+1</f>
        <v>7</v>
      </c>
      <c s="2274">
        <f ca="1">OFFSET(AA45,0,-1)+1</f>
        <v>8</v>
      </c>
      <c s="2274"/>
      <c s="1453">
        <f ca="1">OFFSET(AC45,0,-2)+1</f>
        <v>9</v>
      </c>
      <c s="1453">
        <f ca="1">OFFSET(AD45,0,-1)+1</f>
        <v>10</v>
      </c>
      <c s="1453"/>
      <c s="1453"/>
      <c s="1453"/>
      <c s="1453"/>
      <c s="1453"/>
      <c s="1453"/>
      <c s="1453"/>
      <c s="1453"/>
      <c s="1453"/>
      <c s="1453"/>
      <c s="1453"/>
      <c s="1453"/>
      <c s="1453"/>
      <c s="1453"/>
      <c s="1453"/>
      <c s="1453"/>
      <c s="1453"/>
      <c s="1453"/>
      <c s="1453">
        <f ca="1">OFFSET(AW45,0,-1)+1</f>
        <v>1</v>
      </c>
      <c s="1453">
        <f ca="1">OFFSET(AX45,0,-1)+1</f>
        <v>2</v>
      </c>
      <c s="2274">
        <f ca="1">OFFSET(AY45,0,-1)+1</f>
        <v>3</v>
      </c>
      <c s="2274"/>
      <c s="1453">
        <f ca="1">OFFSET(BA45,0,-2)+1</f>
        <v>4</v>
      </c>
      <c s="1247">
        <f ca="1">OFFSET(BB45,0,-1)</f>
        <v>4</v>
      </c>
      <c s="1453">
        <f ca="1">OFFSET(BC45,0,-1)+1</f>
        <v>5</v>
      </c>
      <c s="513"/>
      <c s="513"/>
      <c s="513"/>
      <c s="513"/>
      <c s="513"/>
      <c s="498">
        <v>0</v>
      </c>
    </row>
    <row r="46" spans="1:61" ht="22.05" customHeight="1">
      <c r="A46" s="1365" t="s">
        <v>246</v>
      </c>
      <c s="1365"/>
      <c s="1365"/>
      <c s="1365"/>
      <c s="2260">
        <v>1</v>
      </c>
      <c s="1365"/>
      <c s="1365"/>
      <c s="1365"/>
      <c s="1365"/>
      <c s="1365"/>
      <c s="1365"/>
      <c s="1366"/>
      <c s="1367"/>
      <c s="1367"/>
      <c s="1367"/>
      <c s="1411"/>
      <c s="875"/>
      <c s="357"/>
      <c s="1459">
        <f>INDEX(PT_DIFFERENTIATION_NUM_NTAR,MATCH(A46,PT_DIFFERENTIATION_NTAR_ID,0))</f>
        <v>0</v>
      </c>
      <c s="300" t="s">
        <v>125</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246</v>
      </c>
      <c s="1365" t="s">
        <v>247</v>
      </c>
      <c s="1365"/>
      <c s="1365"/>
      <c s="2261"/>
      <c s="2260">
        <v>1</v>
      </c>
      <c s="1365"/>
      <c s="1365"/>
      <c s="1365"/>
      <c s="1365"/>
      <c s="1365"/>
      <c s="1366"/>
      <c s="1367"/>
      <c s="1367"/>
      <c s="1367"/>
      <c s="1412"/>
      <c s="1413"/>
      <c s="355"/>
      <c s="1459" t="str">
        <f>INDEX(PT_DIFFERENTIATION_NUM_TER,MATCH(B47,PT_DIFFERENTIATION_TER_ID,0))</f>
        <v>.</v>
      </c>
      <c s="310" t="s">
        <v>397</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398</v>
      </c>
      <c r="BE47" s="502"/>
      <c s="502" t="str">
        <f>IF(T47="","",T47)</f>
        <v>Территория действия тарифа</v>
      </c>
      <c s="502"/>
      <c s="502"/>
      <c s="1157">
        <v>21</v>
      </c>
    </row>
    <row r="48" spans="1:61" ht="43.05" customHeight="1">
      <c r="A48" s="1365" t="s">
        <v>246</v>
      </c>
      <c s="1365" t="s">
        <v>247</v>
      </c>
      <c s="1365" t="s">
        <v>248</v>
      </c>
      <c s="1365"/>
      <c s="2261"/>
      <c s="2261"/>
      <c s="2260">
        <v>1</v>
      </c>
      <c s="1365"/>
      <c s="1365"/>
      <c s="1365"/>
      <c s="1365"/>
      <c s="1366"/>
      <c s="1367"/>
      <c s="1367"/>
      <c s="1367"/>
      <c s="1414"/>
      <c s="1413"/>
      <c s="355"/>
      <c s="1459" t="str">
        <f>INDEX(PT_DIFFERENTIATION_NUM_CS,MATCH(C48,PT_DIFFERENTIATION_CS_ID,0))</f>
        <v>..</v>
      </c>
      <c s="311" t="s">
        <v>481</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482</v>
      </c>
      <c r="BE48" s="502"/>
      <c s="502" t="str">
        <f>IF(T48="","",T48)</f>
        <v>Наименование централизованной системы холодного водоснабжения</v>
      </c>
      <c s="502"/>
      <c s="502"/>
      <c s="1157">
        <v>41</v>
      </c>
    </row>
    <row r="49" spans="1:61" s="1644" customFormat="1" ht="0" customHeight="1">
      <c r="A49" s="1345" t="s">
        <v>246</v>
      </c>
      <c s="1345" t="s">
        <v>247</v>
      </c>
      <c s="1345" t="s">
        <v>248</v>
      </c>
      <c s="1345" t="s">
        <v>515</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49" s="502"/>
      <c s="502" t="str">
        <f>IF(T49="","",T49)</f>
        <v/>
      </c>
      <c s="502"/>
      <c s="502"/>
      <c s="513">
        <v>0</v>
      </c>
    </row>
    <row r="50" spans="1:61" s="1644" customFormat="1" ht="0" customHeight="1">
      <c r="A50" s="1345" t="s">
        <v>246</v>
      </c>
      <c s="1345" t="s">
        <v>247</v>
      </c>
      <c s="1345" t="s">
        <v>248</v>
      </c>
      <c s="1345" t="s">
        <v>515</v>
      </c>
      <c s="2261"/>
      <c s="2261"/>
      <c s="2261"/>
      <c s="2261"/>
      <c s="2258" t="str">
        <f>S49&amp;".1"</f>
        <v>.1</v>
      </c>
      <c s="1345"/>
      <c s="1345"/>
      <c s="1348" t="s">
        <v>403</v>
      </c>
      <c s="512"/>
      <c s="512"/>
      <c s="512"/>
      <c s="2259">
        <v>1</v>
      </c>
      <c s="1464"/>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246</v>
      </c>
      <c s="1345" t="s">
        <v>247</v>
      </c>
      <c s="1345" t="s">
        <v>248</v>
      </c>
      <c s="1345" t="s">
        <v>515</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246</v>
      </c>
      <c s="1365" t="s">
        <v>247</v>
      </c>
      <c s="1365" t="s">
        <v>248</v>
      </c>
      <c s="1365" t="s">
        <v>515</v>
      </c>
      <c s="2261"/>
      <c s="2261"/>
      <c s="2261"/>
      <c s="2261"/>
      <c s="2288"/>
      <c s="2288"/>
      <c s="2258" t="str">
        <f>S48&amp;".1"</f>
        <v>...1</v>
      </c>
      <c s="1366"/>
      <c r="P52" s="2259"/>
      <c s="2259"/>
      <c s="359">
        <v>1</v>
      </c>
      <c s="2343" t="str">
        <f>$K52</f>
        <v>...1</v>
      </c>
      <c s="2362"/>
      <c s="302"/>
      <c s="753"/>
      <c s="1259"/>
      <c s="753"/>
      <c s="1259"/>
      <c s="1736"/>
      <c s="1461" t="s">
        <v>65</v>
      </c>
      <c s="1736"/>
      <c s="1461" t="s">
        <v>65</v>
      </c>
      <c s="2187" t="s">
        <v>65</v>
      </c>
      <c s="2328"/>
      <c s="2207">
        <v>1</v>
      </c>
      <c s="2365"/>
      <c s="2109" t="s">
        <v>65</v>
      </c>
      <c s="2328"/>
      <c s="2207">
        <v>1</v>
      </c>
      <c s="2329" t="s">
        <v>22</v>
      </c>
      <c s="2109" t="s">
        <v>65</v>
      </c>
      <c s="2194"/>
      <c s="2207">
        <v>1</v>
      </c>
      <c s="2359"/>
      <c s="2360" t="s">
        <v>65</v>
      </c>
      <c s="313"/>
      <c s="1465">
        <v>1</v>
      </c>
      <c s="1468" t="s">
        <v>22</v>
      </c>
      <c s="753"/>
      <c s="1259"/>
      <c s="753"/>
      <c s="1259"/>
      <c s="1736"/>
      <c s="1461" t="s">
        <v>65</v>
      </c>
      <c s="1736"/>
      <c s="1461" t="s">
        <v>65</v>
      </c>
      <c s="1350"/>
      <c s="2255" t="s">
        <v>501</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53" s="502"/>
      <c s="502"/>
      <c s="502"/>
      <c s="502"/>
      <c s="1157">
        <v>11</v>
      </c>
    </row>
    <row r="54" spans="1:61" ht="11.55" customHeight="1">
      <c r="A54" s="1365" t="s">
        <v>246</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503</v>
      </c>
      <c s="418"/>
      <c s="418"/>
      <c s="418"/>
      <c s="1395"/>
      <c s="1395"/>
      <c s="1498"/>
      <c s="1395"/>
      <c s="1498"/>
      <c s="1395"/>
      <c s="1395"/>
      <c s="1395"/>
      <c s="1395"/>
      <c s="1399"/>
      <c s="2256"/>
      <c r="BE54" s="502"/>
      <c s="502"/>
      <c s="502"/>
      <c s="502"/>
      <c s="1157">
        <v>11</v>
      </c>
    </row>
    <row r="55" spans="1:61" ht="11.55" customHeight="1">
      <c r="A55" s="1365" t="s">
        <v>246</v>
      </c>
      <c s="1365"/>
      <c s="1365"/>
      <c s="1365"/>
      <c s="2261"/>
      <c s="2261"/>
      <c s="2261"/>
      <c s="2261"/>
      <c s="2288"/>
      <c s="2288"/>
      <c s="2258"/>
      <c s="1366"/>
      <c r="P55" s="2259"/>
      <c s="2259"/>
      <c s="359"/>
      <c s="2344"/>
      <c s="2363"/>
      <c s="302"/>
      <c s="1395"/>
      <c s="1498"/>
      <c s="1395"/>
      <c s="1498"/>
      <c s="1395"/>
      <c s="1395"/>
      <c s="1395"/>
      <c s="1395"/>
      <c s="2188"/>
      <c s="2328"/>
      <c s="2207"/>
      <c s="2365"/>
      <c s="2109"/>
      <c s="296"/>
      <c s="417"/>
      <c s="315" t="s">
        <v>504</v>
      </c>
      <c s="1395"/>
      <c s="1395"/>
      <c s="1395"/>
      <c s="1395"/>
      <c s="1395"/>
      <c s="1395"/>
      <c s="1395"/>
      <c s="1395"/>
      <c s="1395"/>
      <c s="1498"/>
      <c s="1395"/>
      <c s="1498"/>
      <c s="1395"/>
      <c s="1395"/>
      <c s="1395"/>
      <c s="1395"/>
      <c s="1399"/>
      <c s="2256"/>
      <c r="BE55" s="502"/>
      <c s="502"/>
      <c s="502"/>
      <c s="502"/>
      <c s="1157">
        <v>11</v>
      </c>
    </row>
    <row r="56" spans="1:61" ht="11.55" customHeight="1">
      <c r="A56" s="1365" t="s">
        <v>246</v>
      </c>
      <c s="1365" t="s">
        <v>247</v>
      </c>
      <c s="1365" t="s">
        <v>248</v>
      </c>
      <c s="1365" t="s">
        <v>515</v>
      </c>
      <c s="2261"/>
      <c s="2261"/>
      <c s="2261"/>
      <c s="2261"/>
      <c s="2288"/>
      <c s="2288"/>
      <c s="2258"/>
      <c s="1366"/>
      <c r="P56" s="2259"/>
      <c s="2259"/>
      <c s="359"/>
      <c s="2345"/>
      <c s="2364"/>
      <c s="302"/>
      <c s="1395"/>
      <c s="1396" t="str">
        <f>Z52&amp;"-"&amp;AB52</f>
        <v>-</v>
      </c>
      <c s="1395"/>
      <c s="1396" t="str">
        <f>AB52&amp;"-"&amp;AD52</f>
        <v>-да</v>
      </c>
      <c s="1395"/>
      <c s="1395"/>
      <c s="1395"/>
      <c s="1395"/>
      <c s="2114"/>
      <c s="314"/>
      <c s="316"/>
      <c s="418" t="s">
        <v>505</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246</v>
      </c>
      <c s="1365" t="s">
        <v>247</v>
      </c>
      <c s="1365" t="s">
        <v>248</v>
      </c>
      <c s="1365" t="s">
        <v>515</v>
      </c>
      <c s="2261"/>
      <c s="2261"/>
      <c s="2261"/>
      <c s="2261"/>
      <c s="2288"/>
      <c s="2258"/>
      <c s="1365"/>
      <c s="1366"/>
      <c r="P57" s="2259"/>
      <c s="2259"/>
      <c s="358"/>
      <c s="1280"/>
      <c s="289" t="s">
        <v>468</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246</v>
      </c>
      <c s="1345" t="s">
        <v>247</v>
      </c>
      <c s="1345" t="s">
        <v>248</v>
      </c>
      <c s="1345" t="s">
        <v>515</v>
      </c>
      <c s="2261"/>
      <c s="2261"/>
      <c s="2261"/>
      <c s="2261"/>
      <c s="2258"/>
      <c s="1345"/>
      <c s="1345"/>
      <c s="1348"/>
      <c s="512"/>
      <c s="512"/>
      <c s="512"/>
      <c s="2259"/>
      <c s="1464"/>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246</v>
      </c>
      <c s="1345" t="s">
        <v>247</v>
      </c>
      <c s="1345" t="s">
        <v>248</v>
      </c>
      <c s="1345" t="s">
        <v>515</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246</v>
      </c>
      <c s="1345" t="s">
        <v>247</v>
      </c>
      <c s="1345" t="s">
        <v>248</v>
      </c>
      <c s="1316"/>
      <c s="2261"/>
      <c s="2261"/>
      <c s="2260"/>
      <c s="1316"/>
      <c s="1316"/>
      <c s="1316"/>
      <c s="1316"/>
      <c s="146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246</v>
      </c>
      <c s="1345" t="s">
        <v>247</v>
      </c>
      <c s="1316"/>
      <c s="1316"/>
      <c s="2261"/>
      <c s="2260"/>
      <c s="1316"/>
      <c s="1316"/>
      <c s="1316"/>
      <c s="1316"/>
      <c s="1316"/>
      <c s="1466"/>
      <c s="1323"/>
      <c s="1323"/>
      <c r="P61"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246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66"/>
      <c s="1323"/>
      <c s="1323"/>
      <c r="P63" s="1318"/>
      <c s="1319"/>
      <c s="1318"/>
      <c s="1324"/>
      <c s="1327" t="s">
        <v>448</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9.95"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19</v>
      </c>
    </row>
    <row r="66" spans="15:61" ht="14.7" customHeight="1">
      <c r="O66" s="539"/>
      <c r="T66" s="1451"/>
      <c s="1451"/>
      <c s="1451"/>
      <c s="1451"/>
      <c s="1451"/>
      <c s="1451"/>
      <c s="1451"/>
      <c s="1451"/>
      <c s="1451"/>
      <c s="1451"/>
      <c s="1451"/>
      <c s="1451"/>
      <c s="1451"/>
      <c s="1451"/>
      <c s="1451"/>
      <c s="1451"/>
      <c s="1451"/>
      <c s="1451"/>
      <c s="1451"/>
      <c s="1451"/>
      <c s="1451"/>
      <c s="1451"/>
      <c s="1451"/>
      <c s="1451"/>
      <c s="1451"/>
      <c s="1451"/>
      <c s="1451"/>
      <c s="1451"/>
      <c s="1451"/>
      <c s="1451"/>
      <c s="1451"/>
      <c s="1451"/>
      <c s="1451"/>
      <c s="1451"/>
      <c s="1451"/>
      <c s="1451"/>
      <c r="BI66" s="1157">
        <v>14</v>
      </c>
    </row>
    <row r="67" spans="15:61" ht="19.95"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19</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63">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F2ECA79-DCE5-54F6-6C96-0.5B916D49}"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95">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89"/>
      <c s="354"/>
      <c s="355"/>
      <c s="1495">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95">
        <f>INDEX(PT_DIFFERENTIATION_NUM_CS,MATCH(C4,PT_DIFFERENTIATION_CS_ID,0))</f>
      </c>
      <c s="311" t="s">
        <v>516</v>
      </c>
      <c s="302"/>
      <c s="2244"/>
      <c s="2245"/>
      <c s="2245"/>
      <c s="2245"/>
      <c s="2245"/>
      <c s="2245"/>
      <c s="2246"/>
      <c s="2244">
        <f>INDEX(PT_DIFFERENTIATION_CS,MATCH(C4,PT_DIFFERENTIATION_CS_ID,0))</f>
      </c>
      <c s="2245"/>
      <c s="2245"/>
      <c s="2245"/>
      <c s="2245"/>
      <c s="2245"/>
      <c s="2245"/>
      <c s="2246"/>
      <c s="1260" t="s">
        <v>517</v>
      </c>
      <c r="AM4" s="502"/>
      <c s="502" t="str">
        <f>IF(T4="","",T4)</f>
        <v>Наименование централизованной системы водоотведения</v>
      </c>
      <c s="502"/>
      <c s="502"/>
      <c s="1157">
        <v>0</v>
      </c>
    </row>
    <row r="5" spans="1:43" ht="23.25" customHeight="1" hidden="1">
      <c r="A5" s="1365"/>
      <c s="1365"/>
      <c s="1365"/>
      <c s="1365"/>
      <c s="2261"/>
      <c s="2261"/>
      <c s="2261"/>
      <c s="2261"/>
      <c s="2258">
        <f>S4&amp;".1"</f>
      </c>
      <c s="1365"/>
      <c s="1365"/>
      <c s="1366"/>
      <c r="P5" s="2259">
        <v>1</v>
      </c>
      <c s="1483"/>
      <c s="358"/>
      <c s="1495">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95">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95">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92"/>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83"/>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96"/>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80"/>
      <c s="1364"/>
      <c s="1364"/>
      <c s="1369" t="s">
        <v>417</v>
      </c>
      <c s="1364"/>
      <c s="1373"/>
      <c s="1373"/>
      <c s="731"/>
      <c r="Y18" s="1369"/>
      <c r="AA18" s="1369"/>
      <c s="1368"/>
      <c r="AF18" s="1369"/>
      <c r="AH18" s="1369"/>
      <c s="1368"/>
      <c r="AL18" s="513"/>
      <c s="513"/>
      <c s="513"/>
      <c s="513"/>
      <c s="513"/>
      <c s="1162">
        <v>0</v>
      </c>
    </row>
    <row r="19" spans="12:43" s="1368" customFormat="1" ht="14.25" customHeight="1" hidden="1">
      <c r="L19" s="1480"/>
      <c s="1364"/>
      <c s="1364"/>
      <c s="1364"/>
      <c s="1364"/>
      <c s="1373"/>
      <c s="1373"/>
      <c s="731"/>
      <c r="AB19" s="1368"/>
      <c r="AI19" s="1368"/>
      <c r="AL19" s="513"/>
      <c s="513"/>
      <c s="513"/>
      <c s="513"/>
      <c s="513"/>
      <c s="1162">
        <v>0</v>
      </c>
    </row>
    <row r="20" spans="12:43" s="1368" customFormat="1" ht="12" customHeight="1" hidden="1">
      <c r="L20" s="1480"/>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90"/>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485" t="s">
        <v>489</v>
      </c>
      <c s="2264" t="s">
        <v>435</v>
      </c>
      <c s="2265"/>
      <c s="2264" t="s">
        <v>436</v>
      </c>
      <c s="2271"/>
      <c s="2265"/>
      <c s="2280"/>
      <c s="1485" t="s">
        <v>489</v>
      </c>
      <c s="2264" t="s">
        <v>435</v>
      </c>
      <c s="2265"/>
      <c s="2264" t="s">
        <v>436</v>
      </c>
      <c s="2271"/>
      <c s="2265"/>
      <c s="2280"/>
      <c s="2283"/>
      <c s="2129"/>
      <c r="AQ38" s="1157">
        <v>34</v>
      </c>
    </row>
    <row r="39" spans="1:43" ht="90.3" customHeight="1">
      <c r="A39" s="1372"/>
      <c s="1372" t="s">
        <v>137</v>
      </c>
      <c s="1372" t="s">
        <v>138</v>
      </c>
      <c s="1372" t="s">
        <v>139</v>
      </c>
      <c s="1366" t="s">
        <v>437</v>
      </c>
      <c s="1366" t="s">
        <v>438</v>
      </c>
      <c s="1366" t="s">
        <v>439</v>
      </c>
      <c s="1366"/>
      <c s="1366" t="s">
        <v>490</v>
      </c>
      <c s="1366" t="s">
        <v>442</v>
      </c>
      <c s="1366" t="s">
        <v>491</v>
      </c>
      <c s="1366" t="s">
        <v>418</v>
      </c>
      <c r="Q39" s="378"/>
      <c s="378"/>
      <c s="2275"/>
      <c s="2211"/>
      <c s="304"/>
      <c s="1485" t="s">
        <v>518</v>
      </c>
      <c s="1224" t="s">
        <v>519</v>
      </c>
      <c s="1224" t="s">
        <v>494</v>
      </c>
      <c s="1491" t="s">
        <v>446</v>
      </c>
      <c s="2272" t="s">
        <v>447</v>
      </c>
      <c s="2273"/>
      <c s="2281"/>
      <c s="1485" t="s">
        <v>518</v>
      </c>
      <c s="1224" t="s">
        <v>519</v>
      </c>
      <c s="1224" t="s">
        <v>494</v>
      </c>
      <c s="1491" t="s">
        <v>446</v>
      </c>
      <c s="2272" t="s">
        <v>447</v>
      </c>
      <c s="2273"/>
      <c s="2281"/>
      <c s="2284"/>
      <c s="2129"/>
      <c r="AQ39" s="1157">
        <v>86</v>
      </c>
    </row>
    <row r="40" spans="1:43" s="1643" customFormat="1" ht="11.25" customHeight="1" hidden="1">
      <c r="A40" s="1372"/>
      <c s="1372"/>
      <c s="1372"/>
      <c s="1372"/>
      <c s="1372"/>
      <c s="1372"/>
      <c s="1372"/>
      <c s="1372"/>
      <c s="1372"/>
      <c s="1372"/>
      <c s="1372"/>
      <c s="1366"/>
      <c s="1364"/>
      <c s="1364"/>
      <c s="1364"/>
      <c s="1248"/>
      <c s="1249"/>
      <c s="1256">
        <v>1</v>
      </c>
      <c s="1279" t="s">
        <v>109</v>
      </c>
      <c s="1257" t="s">
        <v>110</v>
      </c>
      <c s="1247" t="str">
        <f ca="1">OFFSET(U40,0,-1)</f>
        <v>2</v>
      </c>
      <c s="1484">
        <f ca="1">OFFSET(V40,0,-1)+1</f>
        <v>3</v>
      </c>
      <c s="1484">
        <f ca="1">OFFSET(W40,0,-1)+1</f>
        <v>4</v>
      </c>
      <c s="1484">
        <f ca="1">OFFSET(X40,0,-1)+1</f>
        <v>5</v>
      </c>
      <c s="1484">
        <f ca="1">OFFSET(Y40,0,-1)+1</f>
        <v>6</v>
      </c>
      <c s="2274">
        <f ca="1">OFFSET(Z40,0,-1)+1</f>
        <v>7</v>
      </c>
      <c s="2274"/>
      <c s="1484">
        <f ca="1">OFFSET(AB40,0,-2)+1</f>
        <v>8</v>
      </c>
      <c s="1484">
        <f ca="1">OFFSET(AC40,0,-1)+1</f>
        <v>9</v>
      </c>
      <c s="1484">
        <f ca="1">OFFSET(AD40,0,-1)+1</f>
        <v>10</v>
      </c>
      <c s="1484">
        <f ca="1">OFFSET(AE40,0,-1)+1</f>
        <v>11</v>
      </c>
      <c s="1484">
        <f ca="1">OFFSET(AF40,0,-1)+1</f>
        <v>12</v>
      </c>
      <c s="2274">
        <f ca="1">OFFSET(AG40,0,-1)+1</f>
        <v>13</v>
      </c>
      <c s="2274"/>
      <c s="1484">
        <f ca="1">OFFSET(AI40,0,-2)+1</f>
        <v>14</v>
      </c>
      <c s="1247">
        <f ca="1">OFFSET(AJ40,0,-1)</f>
        <v>14</v>
      </c>
      <c s="1484">
        <f ca="1">OFFSET(AK40,0,-1)+1</f>
        <v>15</v>
      </c>
      <c s="513"/>
      <c s="513"/>
      <c s="513"/>
      <c s="513"/>
      <c s="513"/>
      <c s="498">
        <v>0</v>
      </c>
    </row>
    <row r="41" spans="1:43" ht="24" customHeight="1">
      <c r="A41" s="1365" t="s">
        <v>266</v>
      </c>
      <c s="1365"/>
      <c s="1365"/>
      <c s="1365"/>
      <c s="2260">
        <v>1</v>
      </c>
      <c s="1365"/>
      <c s="1365"/>
      <c s="1365"/>
      <c s="1365"/>
      <c s="1365"/>
      <c s="1365"/>
      <c s="1366"/>
      <c s="1367"/>
      <c s="1367"/>
      <c s="1367"/>
      <c s="363"/>
      <c s="362"/>
      <c s="357"/>
      <c s="1495">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266</v>
      </c>
      <c s="1365" t="s">
        <v>267</v>
      </c>
      <c s="1365"/>
      <c s="1365"/>
      <c s="2261"/>
      <c s="2260">
        <v>1</v>
      </c>
      <c s="1365"/>
      <c s="1365"/>
      <c s="1365"/>
      <c s="1365"/>
      <c s="1365"/>
      <c s="1366"/>
      <c s="1367"/>
      <c s="1367"/>
      <c s="1367"/>
      <c s="1489"/>
      <c s="354"/>
      <c s="355"/>
      <c s="1495"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266</v>
      </c>
      <c s="1365" t="s">
        <v>267</v>
      </c>
      <c s="1365" t="s">
        <v>268</v>
      </c>
      <c s="1365"/>
      <c s="2261"/>
      <c s="2261"/>
      <c s="2260">
        <v>1</v>
      </c>
      <c s="1365"/>
      <c s="1365"/>
      <c s="1365"/>
      <c s="1365"/>
      <c s="1366"/>
      <c s="1367"/>
      <c s="1367"/>
      <c s="1367"/>
      <c s="356"/>
      <c s="354"/>
      <c s="355"/>
      <c s="1495" t="str">
        <f>INDEX(PT_DIFFERENTIATION_NUM_CS,MATCH(C43,PT_DIFFERENTIATION_CS_ID,0))</f>
        <v>..</v>
      </c>
      <c s="311" t="s">
        <v>516</v>
      </c>
      <c s="302"/>
      <c s="2244"/>
      <c s="2245"/>
      <c s="2245"/>
      <c s="2245"/>
      <c s="2245"/>
      <c s="2245"/>
      <c s="2246"/>
      <c s="2244" t="str">
        <f>INDEX(PT_DIFFERENTIATION_CS,MATCH(C43,PT_DIFFERENTIATION_CS_ID,0))</f>
        <v/>
      </c>
      <c s="2245"/>
      <c s="2245"/>
      <c s="2245"/>
      <c s="2245"/>
      <c s="2245"/>
      <c s="2245"/>
      <c s="2246"/>
      <c s="1260" t="s">
        <v>517</v>
      </c>
      <c r="AM43" s="502"/>
      <c s="502" t="str">
        <f>IF(T43="","",T43)</f>
        <v>Наименование централизованной системы водоотведения</v>
      </c>
      <c s="502"/>
      <c s="502"/>
      <c s="1157">
        <v>23</v>
      </c>
    </row>
    <row r="44" spans="1:43" ht="24" customHeight="1">
      <c r="A44" s="1365" t="s">
        <v>266</v>
      </c>
      <c s="1365" t="s">
        <v>267</v>
      </c>
      <c s="1365" t="s">
        <v>268</v>
      </c>
      <c s="1365" t="s">
        <v>520</v>
      </c>
      <c s="2261"/>
      <c s="2261"/>
      <c s="2261"/>
      <c s="2261"/>
      <c s="2258" t="str">
        <f>S43&amp;".1"</f>
        <v>...1</v>
      </c>
      <c s="1365"/>
      <c s="1365"/>
      <c s="1366"/>
      <c r="P44" s="2259">
        <v>1</v>
      </c>
      <c s="1483"/>
      <c s="358"/>
      <c s="1495"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266</v>
      </c>
      <c s="1365" t="s">
        <v>267</v>
      </c>
      <c s="1365" t="s">
        <v>268</v>
      </c>
      <c s="1365" t="s">
        <v>520</v>
      </c>
      <c s="2261"/>
      <c s="2261"/>
      <c s="2261"/>
      <c s="2261"/>
      <c s="2288"/>
      <c s="2258" t="str">
        <f>I44&amp;".1"</f>
        <v>...1.1</v>
      </c>
      <c s="1365"/>
      <c s="1366" t="s">
        <v>406</v>
      </c>
      <c r="P45" s="2259"/>
      <c s="2259">
        <v>1</v>
      </c>
      <c s="359"/>
      <c s="1495"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266</v>
      </c>
      <c s="1365" t="s">
        <v>267</v>
      </c>
      <c s="1365" t="s">
        <v>268</v>
      </c>
      <c s="1365" t="s">
        <v>520</v>
      </c>
      <c s="2261"/>
      <c s="2261"/>
      <c s="2261"/>
      <c s="2261"/>
      <c s="2288"/>
      <c s="2288"/>
      <c s="2258" t="str">
        <f>J45&amp;".1"</f>
        <v>...1.1.1</v>
      </c>
      <c s="1366"/>
      <c r="P46" s="2259"/>
      <c s="2259"/>
      <c s="359">
        <v>1</v>
      </c>
      <c s="1495"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266</v>
      </c>
      <c s="1365" t="s">
        <v>267</v>
      </c>
      <c s="1365" t="s">
        <v>268</v>
      </c>
      <c s="1365" t="s">
        <v>520</v>
      </c>
      <c s="2261"/>
      <c s="2261"/>
      <c s="2261"/>
      <c s="2261"/>
      <c s="2288"/>
      <c s="2288"/>
      <c s="2258"/>
      <c s="1366"/>
      <c r="P47" s="2259"/>
      <c s="2259"/>
      <c s="359"/>
      <c s="1492"/>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266</v>
      </c>
      <c s="1365" t="s">
        <v>267</v>
      </c>
      <c s="1365" t="s">
        <v>268</v>
      </c>
      <c s="1365" t="s">
        <v>520</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266</v>
      </c>
      <c s="1365" t="s">
        <v>267</v>
      </c>
      <c s="1365" t="s">
        <v>268</v>
      </c>
      <c s="1365" t="s">
        <v>520</v>
      </c>
      <c s="2261"/>
      <c s="2261"/>
      <c s="2261"/>
      <c s="2261"/>
      <c s="2258"/>
      <c s="1365"/>
      <c s="1365"/>
      <c s="1366"/>
      <c r="P49" s="2259"/>
      <c s="1483"/>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266</v>
      </c>
      <c s="1365" t="s">
        <v>267</v>
      </c>
      <c s="1365" t="s">
        <v>268</v>
      </c>
      <c s="1365" t="s">
        <v>520</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266</v>
      </c>
      <c s="1345" t="s">
        <v>267</v>
      </c>
      <c s="1316"/>
      <c s="1316"/>
      <c s="2261"/>
      <c s="2260"/>
      <c s="1316"/>
      <c s="1316"/>
      <c s="1316"/>
      <c s="1316"/>
      <c s="1316"/>
      <c s="1496"/>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266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96"/>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0F2C3B-626D-24BF-5798-0.5780287F}"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95">
        <f>INDEX(PT_DIFFERENTIATION_NUM_NTAR,MATCH(A2,PT_DIFFERENTIATION_NTAR_ID,0))</f>
      </c>
      <c s="300" t="s">
        <v>125</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89"/>
      <c s="354"/>
      <c s="355"/>
      <c s="1495">
        <f>INDEX(PT_DIFFERENTIATION_NUM_TER,MATCH(B3,PT_DIFFERENTIATION_TER_ID,0))</f>
      </c>
      <c s="310" t="s">
        <v>397</v>
      </c>
      <c s="302"/>
      <c s="2244"/>
      <c s="2245"/>
      <c s="2245"/>
      <c s="2245"/>
      <c s="2245"/>
      <c s="2245"/>
      <c s="2246"/>
      <c s="2244">
        <f>INDEX(PT_DIFFERENTIATION_TER,MATCH(B3,PT_DIFFERENTIATION_TER_ID,0))</f>
      </c>
      <c s="2245"/>
      <c s="2245"/>
      <c s="2245"/>
      <c s="2245"/>
      <c s="2245"/>
      <c s="2245"/>
      <c s="2246"/>
      <c s="1260" t="s">
        <v>398</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95">
        <f>INDEX(PT_DIFFERENTIATION_NUM_CS,MATCH(C4,PT_DIFFERENTIATION_CS_ID,0))</f>
      </c>
      <c s="311" t="s">
        <v>516</v>
      </c>
      <c s="302"/>
      <c s="2244"/>
      <c s="2245"/>
      <c s="2245"/>
      <c s="2245"/>
      <c s="2245"/>
      <c s="2245"/>
      <c s="2246"/>
      <c s="2244">
        <f>INDEX(PT_DIFFERENTIATION_CS,MATCH(C4,PT_DIFFERENTIATION_CS_ID,0))</f>
      </c>
      <c s="2245"/>
      <c s="2245"/>
      <c s="2245"/>
      <c s="2245"/>
      <c s="2245"/>
      <c s="2245"/>
      <c s="2246"/>
      <c s="1260" t="s">
        <v>517</v>
      </c>
      <c r="AM4" s="502"/>
      <c s="502" t="str">
        <f>IF(T4="","",T4)</f>
        <v>Наименование централизованной системы водоотведения</v>
      </c>
      <c s="502"/>
      <c s="502"/>
      <c s="1157">
        <v>0</v>
      </c>
    </row>
    <row r="5" spans="1:43" ht="23.25" customHeight="1" hidden="1">
      <c r="A5" s="1365"/>
      <c s="1365"/>
      <c s="1365"/>
      <c s="1365"/>
      <c s="2261"/>
      <c s="2261"/>
      <c s="2261"/>
      <c s="2261"/>
      <c s="2258">
        <f>S4&amp;".1"</f>
      </c>
      <c s="1365"/>
      <c s="1365"/>
      <c s="1366"/>
      <c r="P5" s="2259">
        <v>1</v>
      </c>
      <c s="1483"/>
      <c s="358"/>
      <c s="1495">
        <f>$I5</f>
      </c>
      <c s="287" t="s">
        <v>483</v>
      </c>
      <c s="302"/>
      <c s="2352"/>
      <c s="2353"/>
      <c s="2353"/>
      <c s="2353"/>
      <c s="2353"/>
      <c s="2353"/>
      <c s="2354"/>
      <c s="2355"/>
      <c s="2356"/>
      <c s="2356"/>
      <c s="2356"/>
      <c s="2356"/>
      <c s="2356"/>
      <c s="2356"/>
      <c s="2357"/>
      <c s="1260" t="s">
        <v>484</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406</v>
      </c>
      <c r="P6" s="2259"/>
      <c s="2259">
        <v>1</v>
      </c>
      <c s="359"/>
      <c s="1495">
        <f>$J6</f>
      </c>
      <c s="288" t="s">
        <v>407</v>
      </c>
      <c s="302"/>
      <c s="2247"/>
      <c s="2248"/>
      <c s="2248"/>
      <c s="2248"/>
      <c s="2248"/>
      <c s="2248"/>
      <c s="2249"/>
      <c s="2247"/>
      <c s="2248"/>
      <c s="2248"/>
      <c s="2248"/>
      <c s="2248"/>
      <c s="2248"/>
      <c s="2248"/>
      <c s="2249"/>
      <c s="1309" t="s">
        <v>485</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95">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92"/>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486</v>
      </c>
      <c s="369"/>
      <c s="369"/>
      <c s="369"/>
      <c s="369"/>
      <c s="369"/>
      <c s="369"/>
      <c s="369"/>
      <c s="369"/>
      <c s="369"/>
      <c s="369"/>
      <c s="369"/>
      <c s="369"/>
      <c s="369"/>
      <c s="369"/>
      <c s="369"/>
      <c s="369"/>
      <c s="1260" t="s">
        <v>487</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83"/>
      <c s="358"/>
      <c s="1280"/>
      <c s="367" t="s">
        <v>412</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488</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96"/>
      <c s="1323"/>
      <c s="1323"/>
      <c r="P12" s="1318"/>
      <c s="1319"/>
      <c s="1318"/>
      <c s="1324"/>
      <c s="1327" t="s">
        <v>415</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80"/>
      <c s="1364"/>
      <c s="1364"/>
      <c s="1369" t="s">
        <v>417</v>
      </c>
      <c s="1364"/>
      <c s="1373"/>
      <c s="1373"/>
      <c s="731"/>
      <c r="Y18" s="1369"/>
      <c r="AA18" s="1369"/>
      <c s="1368"/>
      <c r="AF18" s="1369"/>
      <c r="AH18" s="1369"/>
      <c s="1368"/>
      <c r="AL18" s="513"/>
      <c s="513"/>
      <c s="513"/>
      <c s="513"/>
      <c s="513"/>
      <c s="1162">
        <v>0</v>
      </c>
    </row>
    <row r="19" spans="12:43" s="1368" customFormat="1" ht="14.25" customHeight="1" hidden="1">
      <c r="L19" s="1480"/>
      <c s="1364"/>
      <c s="1364"/>
      <c s="1364"/>
      <c s="1364"/>
      <c s="1373"/>
      <c s="1373"/>
      <c s="731"/>
      <c r="AB19" s="1368"/>
      <c r="AI19" s="1368"/>
      <c r="AL19" s="513"/>
      <c s="513"/>
      <c s="513"/>
      <c s="513"/>
      <c s="513"/>
      <c s="1162">
        <v>0</v>
      </c>
    </row>
    <row r="20" spans="12:43" s="1368" customFormat="1" ht="12" customHeight="1" hidden="1">
      <c r="L20" s="1480"/>
      <c s="1364"/>
      <c s="1364"/>
      <c s="1366" t="s">
        <v>418</v>
      </c>
      <c s="1364"/>
      <c s="1444"/>
      <c s="1444"/>
      <c s="731"/>
      <c s="1162" t="s">
        <v>419</v>
      </c>
      <c r="Z20" s="188" t="s">
        <v>420</v>
      </c>
      <c r="AB20" s="188" t="s">
        <v>421</v>
      </c>
      <c s="1162" t="s">
        <v>419</v>
      </c>
      <c r="AG20" s="188" t="s">
        <v>422</v>
      </c>
      <c r="AI20" s="188" t="s">
        <v>421</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90"/>
      <c s="328"/>
      <c s="328"/>
      <c s="328"/>
      <c s="328"/>
      <c s="328"/>
      <c s="328"/>
      <c s="280" t="s">
        <v>427</v>
      </c>
      <c s="328"/>
      <c s="328"/>
      <c s="328"/>
      <c s="328"/>
      <c s="328"/>
      <c s="328"/>
      <c s="280" t="s">
        <v>427</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300</v>
      </c>
      <c s="2129"/>
      <c s="2129"/>
      <c s="2129"/>
      <c s="2129"/>
      <c s="2129"/>
      <c s="2129"/>
      <c s="2129"/>
      <c s="2129"/>
      <c s="2129"/>
      <c s="2129"/>
      <c s="2129"/>
      <c s="2129"/>
      <c s="2129"/>
      <c s="2129"/>
      <c s="2129"/>
      <c s="2129"/>
      <c s="2129"/>
      <c s="2129" t="s">
        <v>301</v>
      </c>
      <c r="AQ36" s="1157">
        <v>14</v>
      </c>
    </row>
    <row r="37" spans="17:43" ht="14.7" customHeight="1">
      <c r="Q37" s="378"/>
      <c s="378"/>
      <c s="2275" t="s">
        <v>87</v>
      </c>
      <c s="2211" t="s">
        <v>428</v>
      </c>
      <c s="303"/>
      <c s="2276" t="s">
        <v>429</v>
      </c>
      <c s="2277"/>
      <c s="2277"/>
      <c s="2277"/>
      <c s="2277"/>
      <c s="2278"/>
      <c s="2279" t="s">
        <v>430</v>
      </c>
      <c s="2276" t="s">
        <v>429</v>
      </c>
      <c s="2277"/>
      <c s="2277"/>
      <c s="2277"/>
      <c s="2277"/>
      <c s="2278"/>
      <c s="2279" t="s">
        <v>431</v>
      </c>
      <c s="2282" t="s">
        <v>432</v>
      </c>
      <c s="2129"/>
      <c r="AQ37" s="1157">
        <v>14</v>
      </c>
    </row>
    <row r="38" spans="17:43" ht="35.7" customHeight="1">
      <c r="Q38" s="378"/>
      <c s="378"/>
      <c s="2275"/>
      <c s="2211"/>
      <c s="1033"/>
      <c s="1485" t="s">
        <v>489</v>
      </c>
      <c s="2264" t="s">
        <v>435</v>
      </c>
      <c s="2265"/>
      <c s="2264" t="s">
        <v>436</v>
      </c>
      <c s="2271"/>
      <c s="2265"/>
      <c s="2280"/>
      <c s="1485" t="s">
        <v>489</v>
      </c>
      <c s="2264" t="s">
        <v>435</v>
      </c>
      <c s="2265"/>
      <c s="2264" t="s">
        <v>436</v>
      </c>
      <c s="2271"/>
      <c s="2265"/>
      <c s="2280"/>
      <c s="2283"/>
      <c s="2129"/>
      <c r="AQ38" s="1157">
        <v>34</v>
      </c>
    </row>
    <row r="39" spans="1:43" ht="90.3" customHeight="1">
      <c r="A39" s="1372"/>
      <c s="1372" t="s">
        <v>137</v>
      </c>
      <c s="1372" t="s">
        <v>138</v>
      </c>
      <c s="1372" t="s">
        <v>139</v>
      </c>
      <c s="1366" t="s">
        <v>437</v>
      </c>
      <c s="1366" t="s">
        <v>438</v>
      </c>
      <c s="1366" t="s">
        <v>439</v>
      </c>
      <c s="1366"/>
      <c s="1366" t="s">
        <v>490</v>
      </c>
      <c s="1366" t="s">
        <v>442</v>
      </c>
      <c s="1366" t="s">
        <v>491</v>
      </c>
      <c s="1366" t="s">
        <v>418</v>
      </c>
      <c r="Q39" s="378"/>
      <c s="378"/>
      <c s="2275"/>
      <c s="2211"/>
      <c s="304"/>
      <c s="1485" t="s">
        <v>518</v>
      </c>
      <c s="1224" t="s">
        <v>519</v>
      </c>
      <c s="1224" t="s">
        <v>494</v>
      </c>
      <c s="1491" t="s">
        <v>446</v>
      </c>
      <c s="2272" t="s">
        <v>447</v>
      </c>
      <c s="2273"/>
      <c s="2281"/>
      <c s="1485" t="s">
        <v>518</v>
      </c>
      <c s="1224" t="s">
        <v>519</v>
      </c>
      <c s="1224" t="s">
        <v>494</v>
      </c>
      <c s="1491" t="s">
        <v>446</v>
      </c>
      <c s="2272" t="s">
        <v>447</v>
      </c>
      <c s="2273"/>
      <c s="2281"/>
      <c s="2284"/>
      <c s="2129"/>
      <c r="AQ39" s="1157">
        <v>86</v>
      </c>
    </row>
    <row r="40" spans="1:43" s="1643" customFormat="1" ht="0" customHeight="1">
      <c r="A40" s="1372"/>
      <c s="1372"/>
      <c s="1372"/>
      <c s="1372"/>
      <c s="1372"/>
      <c s="1372"/>
      <c s="1372"/>
      <c s="1372"/>
      <c s="1372"/>
      <c s="1372"/>
      <c s="1372"/>
      <c s="1366"/>
      <c s="1364"/>
      <c s="1364"/>
      <c s="1364"/>
      <c s="1248"/>
      <c s="1249"/>
      <c s="1256">
        <v>1</v>
      </c>
      <c s="1279" t="s">
        <v>109</v>
      </c>
      <c s="1257" t="s">
        <v>110</v>
      </c>
      <c s="1247" t="str">
        <f ca="1">OFFSET(U40,0,-1)</f>
        <v>2</v>
      </c>
      <c s="1484">
        <f ca="1">OFFSET(V40,0,-1)+1</f>
        <v>3</v>
      </c>
      <c s="1484">
        <f ca="1">OFFSET(W40,0,-1)+1</f>
        <v>4</v>
      </c>
      <c s="1484">
        <f ca="1">OFFSET(X40,0,-1)+1</f>
        <v>5</v>
      </c>
      <c s="1484">
        <f ca="1">OFFSET(Y40,0,-1)+1</f>
        <v>6</v>
      </c>
      <c s="2274">
        <f ca="1">OFFSET(Z40,0,-1)+1</f>
        <v>7</v>
      </c>
      <c s="2274"/>
      <c s="1484">
        <f ca="1">OFFSET(AB40,0,-2)+1</f>
        <v>8</v>
      </c>
      <c s="1484">
        <f ca="1">OFFSET(AC40,0,-1)+1</f>
        <v>9</v>
      </c>
      <c s="1484">
        <f ca="1">OFFSET(AD40,0,-1)+1</f>
        <v>10</v>
      </c>
      <c s="1484">
        <f ca="1">OFFSET(AE40,0,-1)+1</f>
        <v>11</v>
      </c>
      <c s="1484">
        <f ca="1">OFFSET(AF40,0,-1)+1</f>
        <v>12</v>
      </c>
      <c s="2274">
        <f ca="1">OFFSET(AG40,0,-1)+1</f>
        <v>13</v>
      </c>
      <c s="2274"/>
      <c s="1484">
        <f ca="1">OFFSET(AI40,0,-2)+1</f>
        <v>14</v>
      </c>
      <c s="1247">
        <f ca="1">OFFSET(AJ40,0,-1)</f>
        <v>14</v>
      </c>
      <c s="1484">
        <f ca="1">OFFSET(AK40,0,-1)+1</f>
        <v>15</v>
      </c>
      <c s="513"/>
      <c s="513"/>
      <c s="513"/>
      <c s="513"/>
      <c s="513"/>
      <c s="498">
        <v>0</v>
      </c>
    </row>
    <row r="41" spans="1:43" ht="24" customHeight="1">
      <c r="A41" s="1365" t="s">
        <v>271</v>
      </c>
      <c s="1365"/>
      <c s="1365"/>
      <c s="1365"/>
      <c s="2260">
        <v>1</v>
      </c>
      <c s="1365"/>
      <c s="1365"/>
      <c s="1365"/>
      <c s="1365"/>
      <c s="1365"/>
      <c s="1365"/>
      <c s="1366"/>
      <c s="1367"/>
      <c s="1367"/>
      <c s="1367"/>
      <c s="363"/>
      <c s="362"/>
      <c s="357"/>
      <c s="1495">
        <f>INDEX(PT_DIFFERENTIATION_NUM_NTAR,MATCH(A41,PT_DIFFERENTIATION_NTAR_ID,0))</f>
        <v>0</v>
      </c>
      <c s="300" t="s">
        <v>125</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271</v>
      </c>
      <c s="1365" t="s">
        <v>272</v>
      </c>
      <c s="1365"/>
      <c s="1365"/>
      <c s="2261"/>
      <c s="2260">
        <v>1</v>
      </c>
      <c s="1365"/>
      <c s="1365"/>
      <c s="1365"/>
      <c s="1365"/>
      <c s="1365"/>
      <c s="1366"/>
      <c s="1367"/>
      <c s="1367"/>
      <c s="1367"/>
      <c s="1489"/>
      <c s="354"/>
      <c s="355"/>
      <c s="1495" t="str">
        <f>INDEX(PT_DIFFERENTIATION_NUM_TER,MATCH(B42,PT_DIFFERENTIATION_TER_ID,0))</f>
        <v>.</v>
      </c>
      <c s="310" t="s">
        <v>397</v>
      </c>
      <c s="302"/>
      <c s="2244"/>
      <c s="2245"/>
      <c s="2245"/>
      <c s="2245"/>
      <c s="2245"/>
      <c s="2245"/>
      <c s="2246"/>
      <c s="2244" t="str">
        <f>INDEX(PT_DIFFERENTIATION_TER,MATCH(B42,PT_DIFFERENTIATION_TER_ID,0))</f>
        <v/>
      </c>
      <c s="2245"/>
      <c s="2245"/>
      <c s="2245"/>
      <c s="2245"/>
      <c s="2245"/>
      <c s="2245"/>
      <c s="2246"/>
      <c s="1260" t="s">
        <v>398</v>
      </c>
      <c r="AM42" s="502"/>
      <c s="502" t="str">
        <f>IF(T42="","",T42)</f>
        <v>Территория действия тарифа</v>
      </c>
      <c s="502"/>
      <c s="502"/>
      <c s="1157">
        <v>23</v>
      </c>
    </row>
    <row r="43" spans="1:43" ht="24" customHeight="1">
      <c r="A43" s="1365" t="s">
        <v>271</v>
      </c>
      <c s="1365" t="s">
        <v>272</v>
      </c>
      <c s="1365" t="s">
        <v>273</v>
      </c>
      <c s="1365"/>
      <c s="2261"/>
      <c s="2261"/>
      <c s="2260">
        <v>1</v>
      </c>
      <c s="1365"/>
      <c s="1365"/>
      <c s="1365"/>
      <c s="1365"/>
      <c s="1366"/>
      <c s="1367"/>
      <c s="1367"/>
      <c s="1367"/>
      <c s="356"/>
      <c s="354"/>
      <c s="355"/>
      <c s="1495" t="str">
        <f>INDEX(PT_DIFFERENTIATION_NUM_CS,MATCH(C43,PT_DIFFERENTIATION_CS_ID,0))</f>
        <v>..</v>
      </c>
      <c s="311" t="s">
        <v>516</v>
      </c>
      <c s="302"/>
      <c s="2244"/>
      <c s="2245"/>
      <c s="2245"/>
      <c s="2245"/>
      <c s="2245"/>
      <c s="2245"/>
      <c s="2246"/>
      <c s="2244" t="str">
        <f>INDEX(PT_DIFFERENTIATION_CS,MATCH(C43,PT_DIFFERENTIATION_CS_ID,0))</f>
        <v/>
      </c>
      <c s="2245"/>
      <c s="2245"/>
      <c s="2245"/>
      <c s="2245"/>
      <c s="2245"/>
      <c s="2245"/>
      <c s="2246"/>
      <c s="1260" t="s">
        <v>517</v>
      </c>
      <c r="AM43" s="502"/>
      <c s="502" t="str">
        <f>IF(T43="","",T43)</f>
        <v>Наименование централизованной системы водоотведения</v>
      </c>
      <c s="502"/>
      <c s="502"/>
      <c s="1157">
        <v>23</v>
      </c>
    </row>
    <row r="44" spans="1:43" ht="24" customHeight="1">
      <c r="A44" s="1365" t="s">
        <v>271</v>
      </c>
      <c s="1365" t="s">
        <v>272</v>
      </c>
      <c s="1365" t="s">
        <v>273</v>
      </c>
      <c s="1365" t="s">
        <v>521</v>
      </c>
      <c s="2261"/>
      <c s="2261"/>
      <c s="2261"/>
      <c s="2261"/>
      <c s="2258" t="str">
        <f>S43&amp;".1"</f>
        <v>...1</v>
      </c>
      <c s="1365"/>
      <c s="1365"/>
      <c s="1366"/>
      <c r="P44" s="2259">
        <v>1</v>
      </c>
      <c s="1483"/>
      <c s="358"/>
      <c s="1495" t="str">
        <f>$I44</f>
        <v>...1</v>
      </c>
      <c s="287" t="s">
        <v>483</v>
      </c>
      <c s="302"/>
      <c s="2352"/>
      <c s="2353"/>
      <c s="2353"/>
      <c s="2353"/>
      <c s="2353"/>
      <c s="2353"/>
      <c s="2354"/>
      <c s="2355"/>
      <c s="2356"/>
      <c s="2356"/>
      <c s="2356"/>
      <c s="2356"/>
      <c s="2356"/>
      <c s="2356"/>
      <c s="2357"/>
      <c s="1260" t="s">
        <v>484</v>
      </c>
      <c r="AM44" s="502"/>
      <c s="502" t="str">
        <f>IF(T44="","",T44)</f>
        <v>Наименование признака дифференциации</v>
      </c>
      <c s="502"/>
      <c s="502"/>
      <c s="1157">
        <v>23</v>
      </c>
    </row>
    <row r="45" spans="1:43" ht="24" customHeight="1">
      <c r="A45" s="1365" t="s">
        <v>271</v>
      </c>
      <c s="1365" t="s">
        <v>272</v>
      </c>
      <c s="1365" t="s">
        <v>273</v>
      </c>
      <c s="1365" t="s">
        <v>521</v>
      </c>
      <c s="2261"/>
      <c s="2261"/>
      <c s="2261"/>
      <c s="2261"/>
      <c s="2288"/>
      <c s="2258" t="str">
        <f>I44&amp;".1"</f>
        <v>...1.1</v>
      </c>
      <c s="1365"/>
      <c s="1366" t="s">
        <v>406</v>
      </c>
      <c r="P45" s="2259"/>
      <c s="2259">
        <v>1</v>
      </c>
      <c s="359"/>
      <c s="1495" t="str">
        <f>$J45</f>
        <v>...1.1</v>
      </c>
      <c s="288" t="s">
        <v>407</v>
      </c>
      <c s="302"/>
      <c s="2247"/>
      <c s="2248"/>
      <c s="2248"/>
      <c s="2248"/>
      <c s="2248"/>
      <c s="2248"/>
      <c s="2249"/>
      <c s="2247"/>
      <c s="2248"/>
      <c s="2248"/>
      <c s="2248"/>
      <c s="2248"/>
      <c s="2248"/>
      <c s="2248"/>
      <c s="2249"/>
      <c s="1309" t="s">
        <v>485</v>
      </c>
      <c r="AM45" s="502"/>
      <c s="502" t="str">
        <f>IF(T45="","",T45)</f>
        <v>Группа потребителей</v>
      </c>
      <c s="502"/>
      <c s="502"/>
      <c s="1157">
        <v>23</v>
      </c>
    </row>
    <row r="46" spans="1:43" ht="24" customHeight="1">
      <c r="A46" s="1365" t="s">
        <v>271</v>
      </c>
      <c s="1365" t="s">
        <v>272</v>
      </c>
      <c s="1365" t="s">
        <v>273</v>
      </c>
      <c s="1365" t="s">
        <v>521</v>
      </c>
      <c s="2261"/>
      <c s="2261"/>
      <c s="2261"/>
      <c s="2261"/>
      <c s="2288"/>
      <c s="2288"/>
      <c s="2258" t="str">
        <f>J45&amp;".1"</f>
        <v>...1.1.1</v>
      </c>
      <c s="1366"/>
      <c r="P46" s="2259"/>
      <c s="2259"/>
      <c s="359">
        <v>1</v>
      </c>
      <c s="1495"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271</v>
      </c>
      <c s="1365" t="s">
        <v>272</v>
      </c>
      <c s="1365" t="s">
        <v>273</v>
      </c>
      <c s="1365" t="s">
        <v>521</v>
      </c>
      <c s="2261"/>
      <c s="2261"/>
      <c s="2261"/>
      <c s="2261"/>
      <c s="2288"/>
      <c s="2288"/>
      <c s="2258"/>
      <c s="1366"/>
      <c r="P47" s="2259"/>
      <c s="2259"/>
      <c s="359"/>
      <c s="1492"/>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271</v>
      </c>
      <c s="1365" t="s">
        <v>272</v>
      </c>
      <c s="1365" t="s">
        <v>273</v>
      </c>
      <c s="1365" t="s">
        <v>521</v>
      </c>
      <c s="2261"/>
      <c s="2261"/>
      <c s="2261"/>
      <c s="2261"/>
      <c s="2288"/>
      <c s="2258"/>
      <c s="1365"/>
      <c s="1366"/>
      <c r="P48" s="2259"/>
      <c s="2259"/>
      <c s="358"/>
      <c s="1280"/>
      <c s="289" t="s">
        <v>486</v>
      </c>
      <c s="369"/>
      <c s="369"/>
      <c s="369"/>
      <c s="369"/>
      <c s="369"/>
      <c s="369"/>
      <c s="369"/>
      <c s="369"/>
      <c s="369"/>
      <c s="369"/>
      <c s="369"/>
      <c s="369"/>
      <c s="369"/>
      <c s="369"/>
      <c s="369"/>
      <c s="369"/>
      <c s="1260" t="s">
        <v>487</v>
      </c>
      <c r="AM48" s="502"/>
      <c s="502" t="str">
        <f>IF(T48="","",T48)</f>
        <v>Добавить значение признака дифференциации</v>
      </c>
      <c s="502"/>
      <c s="502"/>
      <c s="1157">
        <v>20</v>
      </c>
    </row>
    <row r="49" spans="1:43" ht="22.05" customHeight="1">
      <c r="A49" s="1365" t="s">
        <v>271</v>
      </c>
      <c s="1365" t="s">
        <v>272</v>
      </c>
      <c s="1365" t="s">
        <v>273</v>
      </c>
      <c s="1365" t="s">
        <v>521</v>
      </c>
      <c s="2261"/>
      <c s="2261"/>
      <c s="2261"/>
      <c s="2261"/>
      <c s="2258"/>
      <c s="1365"/>
      <c s="1365"/>
      <c s="1366"/>
      <c r="P49" s="2259"/>
      <c s="1483"/>
      <c s="358"/>
      <c s="1280"/>
      <c s="367" t="s">
        <v>412</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271</v>
      </c>
      <c s="1365" t="s">
        <v>272</v>
      </c>
      <c s="1365" t="s">
        <v>273</v>
      </c>
      <c s="1365" t="s">
        <v>521</v>
      </c>
      <c s="2261"/>
      <c s="2261"/>
      <c s="2261"/>
      <c s="2260"/>
      <c s="1365"/>
      <c s="1365"/>
      <c s="1365"/>
      <c s="1366"/>
      <c s="1367"/>
      <c s="1367"/>
      <c s="539"/>
      <c s="362"/>
      <c s="377"/>
      <c s="357"/>
      <c s="1280"/>
      <c s="374" t="s">
        <v>488</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271</v>
      </c>
      <c s="1345" t="s">
        <v>272</v>
      </c>
      <c s="1316"/>
      <c s="1316"/>
      <c s="2261"/>
      <c s="2260"/>
      <c s="1316"/>
      <c s="1316"/>
      <c s="1316"/>
      <c s="1316"/>
      <c s="1316"/>
      <c s="1496"/>
      <c s="1323"/>
      <c s="1323"/>
      <c r="P51" s="1318"/>
      <c s="1319"/>
      <c s="1318"/>
      <c s="1324"/>
      <c s="1327" t="s">
        <v>415</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271</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96"/>
      <c s="1323"/>
      <c s="1323"/>
      <c r="P53" s="1318"/>
      <c s="1319"/>
      <c s="1318"/>
      <c s="1324"/>
      <c s="1327" t="s">
        <v>448</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0762ABE-2A95-8683-C98B-0.5F44B073}"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95">
        <f>INDEX(PT_DIFFERENTIATION_NUM_NTAR,MATCH(A2,PT_DIFFERENTIATION_NTAR_ID,0))</f>
      </c>
      <c s="300" t="s">
        <v>125</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95">
        <f>INDEX(PT_DIFFERENTIATION_NUM_TER,MATCH(B3,PT_DIFFERENTIATION_TER_ID,0))</f>
      </c>
      <c s="310" t="s">
        <v>397</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398</v>
      </c>
      <c r="BE3" s="502"/>
      <c s="502" t="str">
        <f>IF(T3="","",T3)</f>
        <v>Территория действия тарифа</v>
      </c>
      <c s="502"/>
      <c s="502"/>
      <c s="1157">
        <v>0</v>
      </c>
    </row>
    <row r="4" spans="1:61" ht="33.75" customHeight="1" hidden="1">
      <c r="A4" s="1365"/>
      <c s="1365"/>
      <c s="1365"/>
      <c s="1365"/>
      <c s="2261"/>
      <c s="2261"/>
      <c s="2260">
        <v>1</v>
      </c>
      <c s="1365"/>
      <c s="1365"/>
      <c s="1365"/>
      <c s="1365"/>
      <c s="1366"/>
      <c s="1367"/>
      <c s="1367"/>
      <c s="1367"/>
      <c s="1414"/>
      <c s="1413"/>
      <c s="355"/>
      <c s="1495">
        <f>INDEX(PT_DIFFERENTIATION_NUM_CS,MATCH(C4,PT_DIFFERENTIATION_CS_ID,0))</f>
      </c>
      <c s="311" t="s">
        <v>516</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517</v>
      </c>
      <c r="BE4" s="502"/>
      <c s="502" t="str">
        <f>IF(T4="","",T4)</f>
        <v>Наименование централизованной системы водоотведения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5" s="502"/>
      <c s="502" t="str">
        <f>IF(T5="","",T5)</f>
        <v/>
      </c>
      <c s="502"/>
      <c s="502"/>
      <c s="513">
        <v>0</v>
      </c>
    </row>
    <row r="6" spans="1:61" s="1644" customFormat="1" ht="14.25" customHeight="1" hidden="1">
      <c r="A6" s="1345"/>
      <c s="1345"/>
      <c s="1345"/>
      <c s="1345"/>
      <c s="2261"/>
      <c s="2261"/>
      <c s="2261"/>
      <c s="2261"/>
      <c s="2258" t="str">
        <f>S5&amp;".1"</f>
        <v>.1</v>
      </c>
      <c s="1345"/>
      <c s="1345"/>
      <c s="1348" t="s">
        <v>403</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501</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522</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523</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505</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468</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9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96"/>
      <c s="1323"/>
      <c s="1323"/>
      <c r="P17"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87" t="s">
        <v>65</v>
      </c>
      <c s="1738"/>
      <c s="1487" t="s">
        <v>65</v>
      </c>
      <c r="BI20" s="1157">
        <v>0</v>
      </c>
    </row>
    <row r="21" spans="56:61" ht="14.25" customHeight="1" hidden="1">
      <c r="BD21" s="498"/>
      <c s="498"/>
      <c s="498"/>
      <c s="498"/>
      <c s="498"/>
      <c s="1157">
        <v>0</v>
      </c>
    </row>
    <row r="22" spans="15:29 50:61" ht="14.25" customHeight="1" hidden="1">
      <c r="O22" s="1369" t="s">
        <v>417</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418</v>
      </c>
      <c s="1510"/>
      <c s="1512"/>
      <c s="1512"/>
      <c r="AA24" s="1509" t="s">
        <v>420</v>
      </c>
      <c r="AC24" s="1509" t="s">
        <v>421</v>
      </c>
      <c s="1509" t="s">
        <v>469</v>
      </c>
      <c r="AH24" s="1509" t="s">
        <v>469</v>
      </c>
      <c r="AK24" s="1509" t="s">
        <v>506</v>
      </c>
      <c s="1509" t="s">
        <v>469</v>
      </c>
      <c r="AP24" s="1509" t="s">
        <v>469</v>
      </c>
      <c r="AY24" s="1509" t="s">
        <v>420</v>
      </c>
      <c r="BA24" s="1509" t="s">
        <v>421</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90"/>
      <c s="328"/>
      <c s="328"/>
      <c s="328"/>
      <c s="328"/>
      <c s="328"/>
      <c s="328"/>
      <c s="328"/>
      <c s="280" t="s">
        <v>427</v>
      </c>
      <c s="328"/>
      <c s="328"/>
      <c s="328"/>
      <c s="328"/>
      <c s="328"/>
      <c s="328"/>
      <c s="328"/>
      <c s="328"/>
      <c s="328"/>
      <c s="328"/>
      <c s="328"/>
      <c s="328"/>
      <c s="328"/>
      <c s="328"/>
      <c s="328"/>
      <c s="328"/>
      <c s="328"/>
      <c s="328"/>
      <c s="328"/>
      <c s="328"/>
      <c s="328"/>
      <c s="328"/>
      <c s="328"/>
      <c s="280" t="s">
        <v>427</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300</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301</v>
      </c>
      <c r="BI40" s="1157">
        <v>14</v>
      </c>
    </row>
    <row r="41" spans="17:61" ht="14.7" customHeight="1">
      <c r="Q41" s="293"/>
      <c s="378"/>
      <c s="2275" t="s">
        <v>87</v>
      </c>
      <c s="2211" t="s">
        <v>507</v>
      </c>
      <c s="303"/>
      <c s="2276" t="s">
        <v>429</v>
      </c>
      <c s="2277"/>
      <c s="2277"/>
      <c s="2277"/>
      <c s="2277"/>
      <c s="2277"/>
      <c s="2278"/>
      <c s="2279" t="s">
        <v>430</v>
      </c>
      <c s="2330" t="s">
        <v>524</v>
      </c>
      <c s="2293"/>
      <c s="2293"/>
      <c s="2331"/>
      <c s="2330" t="s">
        <v>525</v>
      </c>
      <c s="2293"/>
      <c s="2293"/>
      <c s="2331"/>
      <c s="2330" t="s">
        <v>526</v>
      </c>
      <c s="2293"/>
      <c s="2293"/>
      <c s="2331"/>
      <c s="2330" t="s">
        <v>511</v>
      </c>
      <c s="2293"/>
      <c s="2293"/>
      <c s="2331"/>
      <c s="2276" t="s">
        <v>429</v>
      </c>
      <c s="2277"/>
      <c s="2277"/>
      <c s="2277"/>
      <c s="2277"/>
      <c s="2277"/>
      <c s="2278"/>
      <c s="2279" t="s">
        <v>430</v>
      </c>
      <c s="2282" t="s">
        <v>432</v>
      </c>
      <c s="2129"/>
      <c r="BI41" s="1157">
        <v>14</v>
      </c>
    </row>
    <row r="42" spans="17:61" ht="35.7" customHeight="1">
      <c r="Q42" s="293"/>
      <c s="378"/>
      <c s="2275"/>
      <c s="2211"/>
      <c s="1033"/>
      <c s="2194" t="s">
        <v>512</v>
      </c>
      <c s="2195"/>
      <c s="2194" t="s">
        <v>513</v>
      </c>
      <c s="2195"/>
      <c s="2296" t="s">
        <v>514</v>
      </c>
      <c s="2315"/>
      <c s="2316"/>
      <c s="2280"/>
      <c s="2332"/>
      <c s="2333"/>
      <c s="2333"/>
      <c s="2334"/>
      <c s="2332"/>
      <c s="2333"/>
      <c s="2333"/>
      <c s="2334"/>
      <c s="2332"/>
      <c s="2333"/>
      <c s="2333"/>
      <c s="2334"/>
      <c s="2332"/>
      <c s="2333"/>
      <c s="2333"/>
      <c s="2334"/>
      <c s="2194" t="s">
        <v>527</v>
      </c>
      <c s="2195"/>
      <c s="2194" t="s">
        <v>528</v>
      </c>
      <c s="2195"/>
      <c s="2296" t="s">
        <v>514</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137</v>
      </c>
      <c s="1372" t="s">
        <v>138</v>
      </c>
      <c s="1372" t="s">
        <v>139</v>
      </c>
      <c s="1366" t="s">
        <v>437</v>
      </c>
      <c s="1366" t="s">
        <v>438</v>
      </c>
      <c s="1366" t="s">
        <v>439</v>
      </c>
      <c s="1366" t="s">
        <v>440</v>
      </c>
      <c s="1366" t="s">
        <v>441</v>
      </c>
      <c s="1366" t="s">
        <v>442</v>
      </c>
      <c s="1366" t="s">
        <v>443</v>
      </c>
      <c s="1366" t="s">
        <v>418</v>
      </c>
      <c r="Q44" s="293"/>
      <c s="378"/>
      <c s="2275"/>
      <c s="2211"/>
      <c s="304"/>
      <c s="1481" t="s">
        <v>478</v>
      </c>
      <c s="1481" t="s">
        <v>479</v>
      </c>
      <c s="1481" t="s">
        <v>478</v>
      </c>
      <c s="1481" t="s">
        <v>479</v>
      </c>
      <c s="1491" t="s">
        <v>446</v>
      </c>
      <c s="2272" t="s">
        <v>447</v>
      </c>
      <c s="2273"/>
      <c s="2281"/>
      <c s="2335"/>
      <c s="2336"/>
      <c s="2336"/>
      <c s="2337"/>
      <c s="2335"/>
      <c s="2336"/>
      <c s="2336"/>
      <c s="2337"/>
      <c s="2335"/>
      <c s="2336"/>
      <c s="2336"/>
      <c s="2337"/>
      <c s="2335"/>
      <c s="2336"/>
      <c s="2336"/>
      <c s="2337"/>
      <c s="1481" t="s">
        <v>478</v>
      </c>
      <c s="1481" t="s">
        <v>479</v>
      </c>
      <c s="1481" t="s">
        <v>478</v>
      </c>
      <c s="1481" t="s">
        <v>479</v>
      </c>
      <c s="1491" t="s">
        <v>446</v>
      </c>
      <c s="2272" t="s">
        <v>447</v>
      </c>
      <c s="2273"/>
      <c s="2281"/>
      <c s="2284"/>
      <c s="2129"/>
      <c r="BI44" s="1157">
        <v>14</v>
      </c>
    </row>
    <row r="45" spans="1:61" s="1643" customFormat="1" ht="11.25" customHeight="1" hidden="1">
      <c r="A45" s="1372"/>
      <c s="1372"/>
      <c s="1372"/>
      <c s="1372"/>
      <c s="1372"/>
      <c s="1372"/>
      <c s="1372"/>
      <c s="1372"/>
      <c s="1372"/>
      <c s="1372"/>
      <c s="1372"/>
      <c s="1366"/>
      <c s="1364"/>
      <c s="1364"/>
      <c s="1364"/>
      <c s="512"/>
      <c s="1256"/>
      <c s="1256">
        <v>1</v>
      </c>
      <c s="1279" t="s">
        <v>109</v>
      </c>
      <c s="1257" t="s">
        <v>110</v>
      </c>
      <c s="1247" t="str">
        <f ca="1">OFFSET(U45,0,-1)</f>
        <v>2</v>
      </c>
      <c s="1484">
        <f ca="1">OFFSET(V45,0,-1)+1</f>
        <v>3</v>
      </c>
      <c s="1484">
        <f ca="1">OFFSET(W45,0,-1)+1</f>
        <v>4</v>
      </c>
      <c s="1484">
        <f ca="1">OFFSET(X45,0,-1)+1</f>
        <v>5</v>
      </c>
      <c s="1484">
        <f ca="1">OFFSET(Y45,0,-1)+1</f>
        <v>6</v>
      </c>
      <c s="1484">
        <f ca="1">OFFSET(Z45,0,-1)+1</f>
        <v>7</v>
      </c>
      <c s="2274">
        <f ca="1">OFFSET(AA45,0,-1)+1</f>
        <v>8</v>
      </c>
      <c s="2274"/>
      <c s="1484">
        <f ca="1">OFFSET(AC45,0,-2)+1</f>
        <v>9</v>
      </c>
      <c s="1484">
        <f ca="1">OFFSET(AD45,0,-1)+1</f>
        <v>10</v>
      </c>
      <c s="1484"/>
      <c s="1484"/>
      <c s="1484"/>
      <c s="1484"/>
      <c s="1484"/>
      <c s="1484"/>
      <c s="1484"/>
      <c s="1484"/>
      <c s="1484"/>
      <c s="1484"/>
      <c s="1484"/>
      <c s="1484"/>
      <c s="1484"/>
      <c s="1484"/>
      <c s="1484"/>
      <c s="1484"/>
      <c s="1484"/>
      <c s="1484"/>
      <c s="1484">
        <f ca="1">OFFSET(AW45,0,-1)+1</f>
        <v>1</v>
      </c>
      <c s="1484">
        <f ca="1">OFFSET(AX45,0,-1)+1</f>
        <v>2</v>
      </c>
      <c s="2274">
        <f ca="1">OFFSET(AY45,0,-1)+1</f>
        <v>3</v>
      </c>
      <c s="2274"/>
      <c s="1484">
        <f ca="1">OFFSET(BA45,0,-2)+1</f>
        <v>4</v>
      </c>
      <c s="1247">
        <f ca="1">OFFSET(BB45,0,-1)</f>
        <v>4</v>
      </c>
      <c s="1484">
        <f ca="1">OFFSET(BC45,0,-1)+1</f>
        <v>5</v>
      </c>
      <c s="513"/>
      <c s="513"/>
      <c s="513"/>
      <c s="513"/>
      <c s="513"/>
      <c s="498">
        <v>0</v>
      </c>
    </row>
    <row r="46" spans="1:61" ht="22.05" customHeight="1">
      <c r="A46" s="1365" t="s">
        <v>276</v>
      </c>
      <c s="1365"/>
      <c s="1365"/>
      <c s="1365"/>
      <c s="2260">
        <v>1</v>
      </c>
      <c s="1365"/>
      <c s="1365"/>
      <c s="1365"/>
      <c s="1365"/>
      <c s="1365"/>
      <c s="1365"/>
      <c s="1366"/>
      <c s="1367"/>
      <c s="1367"/>
      <c s="1367"/>
      <c s="1411"/>
      <c s="875"/>
      <c s="357"/>
      <c s="1495">
        <f>INDEX(PT_DIFFERENTIATION_NUM_NTAR,MATCH(A46,PT_DIFFERENTIATION_NTAR_ID,0))</f>
        <v>0</v>
      </c>
      <c s="300" t="s">
        <v>125</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276</v>
      </c>
      <c s="1365" t="s">
        <v>277</v>
      </c>
      <c s="1365"/>
      <c s="1365"/>
      <c s="2261"/>
      <c s="2260">
        <v>1</v>
      </c>
      <c s="1365"/>
      <c s="1365"/>
      <c s="1365"/>
      <c s="1365"/>
      <c s="1365"/>
      <c s="1366"/>
      <c s="1367"/>
      <c s="1367"/>
      <c s="1367"/>
      <c s="1412"/>
      <c s="1413"/>
      <c s="355"/>
      <c s="1495" t="str">
        <f>INDEX(PT_DIFFERENTIATION_NUM_TER,MATCH(B47,PT_DIFFERENTIATION_TER_ID,0))</f>
        <v>.</v>
      </c>
      <c s="310" t="s">
        <v>397</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398</v>
      </c>
      <c r="BE47" s="502"/>
      <c s="502" t="str">
        <f>IF(T47="","",T47)</f>
        <v>Территория действия тарифа</v>
      </c>
      <c s="502"/>
      <c s="502"/>
      <c s="1157">
        <v>21</v>
      </c>
    </row>
    <row r="48" spans="1:61" ht="35.7" customHeight="1">
      <c r="A48" s="1365" t="s">
        <v>276</v>
      </c>
      <c s="1365" t="s">
        <v>277</v>
      </c>
      <c s="1365" t="s">
        <v>278</v>
      </c>
      <c s="1365"/>
      <c s="2261"/>
      <c s="2261"/>
      <c s="2260">
        <v>1</v>
      </c>
      <c s="1365"/>
      <c s="1365"/>
      <c s="1365"/>
      <c s="1365"/>
      <c s="1366"/>
      <c s="1367"/>
      <c s="1367"/>
      <c s="1367"/>
      <c s="1414"/>
      <c s="1413"/>
      <c s="355"/>
      <c s="1495" t="str">
        <f>INDEX(PT_DIFFERENTIATION_NUM_CS,MATCH(C48,PT_DIFFERENTIATION_CS_ID,0))</f>
        <v>..</v>
      </c>
      <c s="311" t="s">
        <v>516</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517</v>
      </c>
      <c r="BE48" s="502"/>
      <c s="502" t="str">
        <f>IF(T48="","",T48)</f>
        <v>Наименование централизованной системы водоотведения</v>
      </c>
      <c s="502"/>
      <c s="502"/>
      <c s="1157">
        <v>34</v>
      </c>
    </row>
    <row r="49" spans="1:61" s="1644" customFormat="1" ht="0" customHeight="1">
      <c r="A49" s="1345" t="s">
        <v>276</v>
      </c>
      <c s="1345" t="s">
        <v>277</v>
      </c>
      <c s="1345" t="s">
        <v>278</v>
      </c>
      <c s="1345" t="s">
        <v>529</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49" s="502"/>
      <c s="502" t="str">
        <f>IF(T49="","",T49)</f>
        <v/>
      </c>
      <c s="502"/>
      <c s="502"/>
      <c s="513">
        <v>0</v>
      </c>
    </row>
    <row r="50" spans="1:61" s="1644" customFormat="1" ht="0" customHeight="1">
      <c r="A50" s="1345" t="s">
        <v>276</v>
      </c>
      <c s="1345" t="s">
        <v>277</v>
      </c>
      <c s="1345" t="s">
        <v>278</v>
      </c>
      <c s="1345" t="s">
        <v>529</v>
      </c>
      <c s="2261"/>
      <c s="2261"/>
      <c s="2261"/>
      <c s="2261"/>
      <c s="2258" t="str">
        <f>S49&amp;".1"</f>
        <v>.1</v>
      </c>
      <c s="1345"/>
      <c s="1345"/>
      <c s="1348" t="s">
        <v>403</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276</v>
      </c>
      <c s="1345" t="s">
        <v>277</v>
      </c>
      <c s="1345" t="s">
        <v>278</v>
      </c>
      <c s="1345" t="s">
        <v>529</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276</v>
      </c>
      <c s="1365" t="s">
        <v>277</v>
      </c>
      <c s="1365" t="s">
        <v>278</v>
      </c>
      <c s="1365" t="s">
        <v>529</v>
      </c>
      <c s="2261"/>
      <c s="2261"/>
      <c s="2261"/>
      <c s="2261"/>
      <c s="2288"/>
      <c s="2288"/>
      <c s="2258" t="str">
        <f>S48&amp;".1"</f>
        <v>...1</v>
      </c>
      <c s="1366"/>
      <c r="P52" s="2259"/>
      <c s="2259"/>
      <c s="359">
        <v>1</v>
      </c>
      <c s="2343" t="str">
        <f>$K52</f>
        <v>...1</v>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501</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53" s="502"/>
      <c s="502"/>
      <c s="502"/>
      <c s="502"/>
      <c s="1157">
        <v>11</v>
      </c>
    </row>
    <row r="54" spans="1:61" ht="11.55" customHeight="1">
      <c r="A54" s="1365" t="s">
        <v>276</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522</v>
      </c>
      <c s="418"/>
      <c s="418"/>
      <c s="418"/>
      <c s="1395"/>
      <c s="1395"/>
      <c s="1498"/>
      <c s="1395"/>
      <c s="1498"/>
      <c s="1395"/>
      <c s="1395"/>
      <c s="1395"/>
      <c s="1395"/>
      <c s="1399"/>
      <c s="2256"/>
      <c r="BE54" s="502"/>
      <c s="502"/>
      <c s="502"/>
      <c s="502"/>
      <c s="1157">
        <v>11</v>
      </c>
    </row>
    <row r="55" spans="1:61" ht="11.55" customHeight="1">
      <c r="A55" s="1365" t="s">
        <v>276</v>
      </c>
      <c s="1365"/>
      <c s="1365"/>
      <c s="1365"/>
      <c s="2261"/>
      <c s="2261"/>
      <c s="2261"/>
      <c s="2261"/>
      <c s="2288"/>
      <c s="2288"/>
      <c s="2258"/>
      <c s="1366"/>
      <c r="P55" s="2259"/>
      <c s="2259"/>
      <c s="359"/>
      <c s="2344"/>
      <c s="2363"/>
      <c s="302"/>
      <c s="1395"/>
      <c s="1498"/>
      <c s="1395"/>
      <c s="1498"/>
      <c s="1395"/>
      <c s="1395"/>
      <c s="1395"/>
      <c s="1395"/>
      <c s="2188"/>
      <c s="2328"/>
      <c s="2207"/>
      <c s="2365"/>
      <c s="2109"/>
      <c s="296"/>
      <c s="417"/>
      <c s="315" t="s">
        <v>523</v>
      </c>
      <c s="1395"/>
      <c s="1395"/>
      <c s="1395"/>
      <c s="1395"/>
      <c s="1395"/>
      <c s="1395"/>
      <c s="1395"/>
      <c s="1395"/>
      <c s="1395"/>
      <c s="1498"/>
      <c s="1395"/>
      <c s="1498"/>
      <c s="1395"/>
      <c s="1395"/>
      <c s="1395"/>
      <c s="1395"/>
      <c s="1399"/>
      <c s="2256"/>
      <c r="BE55" s="502"/>
      <c s="502"/>
      <c s="502"/>
      <c s="502"/>
      <c s="1157">
        <v>11</v>
      </c>
    </row>
    <row r="56" spans="1:61" ht="11.55" customHeight="1">
      <c r="A56" s="1365" t="s">
        <v>276</v>
      </c>
      <c s="1365" t="s">
        <v>277</v>
      </c>
      <c s="1365" t="s">
        <v>278</v>
      </c>
      <c s="1365" t="s">
        <v>529</v>
      </c>
      <c s="2261"/>
      <c s="2261"/>
      <c s="2261"/>
      <c s="2261"/>
      <c s="2288"/>
      <c s="2288"/>
      <c s="2258"/>
      <c s="1366"/>
      <c r="P56" s="2259"/>
      <c s="2259"/>
      <c s="359"/>
      <c s="2345"/>
      <c s="2364"/>
      <c s="302"/>
      <c s="1395"/>
      <c s="1396" t="str">
        <f>Z52&amp;"-"&amp;AB52</f>
        <v>-</v>
      </c>
      <c s="1395"/>
      <c s="1396" t="str">
        <f>AB52&amp;"-"&amp;AD52</f>
        <v>-да</v>
      </c>
      <c s="1395"/>
      <c s="1395"/>
      <c s="1395"/>
      <c s="1395"/>
      <c s="2114"/>
      <c s="314"/>
      <c s="316"/>
      <c s="418" t="s">
        <v>505</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276</v>
      </c>
      <c s="1365" t="s">
        <v>277</v>
      </c>
      <c s="1365" t="s">
        <v>278</v>
      </c>
      <c s="1365" t="s">
        <v>529</v>
      </c>
      <c s="2261"/>
      <c s="2261"/>
      <c s="2261"/>
      <c s="2261"/>
      <c s="2288"/>
      <c s="2258"/>
      <c s="1365"/>
      <c s="1366"/>
      <c r="P57" s="2259"/>
      <c s="2259"/>
      <c s="358"/>
      <c s="1280"/>
      <c s="289" t="s">
        <v>468</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276</v>
      </c>
      <c s="1345" t="s">
        <v>277</v>
      </c>
      <c s="1345" t="s">
        <v>278</v>
      </c>
      <c s="1345" t="s">
        <v>529</v>
      </c>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276</v>
      </c>
      <c s="1345" t="s">
        <v>277</v>
      </c>
      <c s="1345" t="s">
        <v>278</v>
      </c>
      <c s="1345" t="s">
        <v>529</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276</v>
      </c>
      <c s="1345" t="s">
        <v>277</v>
      </c>
      <c s="1345" t="s">
        <v>278</v>
      </c>
      <c s="1316"/>
      <c s="2261"/>
      <c s="2261"/>
      <c s="2260"/>
      <c s="1316"/>
      <c s="1316"/>
      <c s="1316"/>
      <c s="1316"/>
      <c s="149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276</v>
      </c>
      <c s="1345" t="s">
        <v>277</v>
      </c>
      <c s="1316"/>
      <c s="1316"/>
      <c s="2261"/>
      <c s="2260"/>
      <c s="1316"/>
      <c s="1316"/>
      <c s="1316"/>
      <c s="1316"/>
      <c s="1316"/>
      <c s="1496"/>
      <c s="1323"/>
      <c s="1323"/>
      <c r="P61"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276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96"/>
      <c s="1323"/>
      <c s="1323"/>
      <c r="P63" s="1318"/>
      <c s="1319"/>
      <c s="1318"/>
      <c s="1324"/>
      <c s="1327" t="s">
        <v>448</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4.7"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14</v>
      </c>
    </row>
    <row r="66" spans="15:61" ht="14.7" customHeight="1">
      <c r="O66" s="539"/>
      <c r="T66"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r="BI66" s="1157">
        <v>14</v>
      </c>
    </row>
    <row r="67" spans="15:61" ht="14.7"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14</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80">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758E9B8-946E-5138-883F-0.DC2743F4}"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8" width="19.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19.7142857142857" style="1637" customWidth="1"/>
    <col min="34" max="39" width="19" style="1637" customWidth="1"/>
    <col min="40" max="40" width="11" style="1637" customWidth="1"/>
    <col min="41" max="41" width="3.71428571428571" style="1637" customWidth="1"/>
    <col min="42" max="42" width="11" style="1637" customWidth="1"/>
    <col min="43" max="43" width="8.57142857142857" style="1637" hidden="1" customWidth="1"/>
    <col min="44" max="44" width="4" style="1637" customWidth="1"/>
    <col min="45" max="45" width="115" style="1637" customWidth="1"/>
    <col min="46" max="50" width="10" style="1644" customWidth="1"/>
    <col min="51" max="51" width="10.5714285714286" style="1637" hidden="1"/>
  </cols>
  <sheetData>
    <row r="1" spans="29:51" ht="22.5" customHeight="1" hidden="1">
      <c r="AC1" s="329"/>
      <c r="AN1" s="329"/>
      <c r="AY1" s="1157" t="s">
        <v>14</v>
      </c>
    </row>
    <row r="2" spans="1:51" ht="23.25" customHeight="1" hidden="1">
      <c r="A2" s="1365"/>
      <c s="1365"/>
      <c s="1365"/>
      <c s="1365"/>
      <c s="2260">
        <v>1</v>
      </c>
      <c s="1365"/>
      <c s="1365"/>
      <c s="1365"/>
      <c s="1365"/>
      <c s="1365"/>
      <c s="1365"/>
      <c s="1366"/>
      <c s="1367"/>
      <c s="1367"/>
      <c s="1367"/>
      <c s="363"/>
      <c s="362"/>
      <c s="357"/>
      <c s="1495">
        <f>INDEX(PT_DIFFERENTIATION_NUM_NTAR,MATCH(A2,PT_DIFFERENTIATION_NTAR_ID,0))</f>
      </c>
      <c s="300" t="s">
        <v>125</v>
      </c>
      <c s="302"/>
      <c s="2244"/>
      <c s="2245"/>
      <c s="2245"/>
      <c s="2245"/>
      <c s="2245"/>
      <c s="2245"/>
      <c s="2245"/>
      <c s="2245"/>
      <c s="2245"/>
      <c s="2245"/>
      <c s="2246"/>
      <c s="2244">
        <f>INDEX(PT_DIFFERENTIATION_NTAR,MATCH(A2,PT_DIFFERENTIATION_NTAR_ID,0))</f>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s="502" t="str">
        <f>IF(T2="","",T2)</f>
        <v>Наименование тарифа</v>
      </c>
      <c s="502"/>
      <c s="502"/>
      <c s="1157">
        <v>0</v>
      </c>
    </row>
    <row r="3" spans="1:51" ht="23.25" customHeight="1" hidden="1">
      <c r="A3" s="1365"/>
      <c s="1365"/>
      <c s="1365"/>
      <c s="1365"/>
      <c s="2261"/>
      <c s="2260">
        <v>1</v>
      </c>
      <c s="1365"/>
      <c s="1365"/>
      <c s="1365"/>
      <c s="1365"/>
      <c s="1365"/>
      <c s="1366"/>
      <c s="1367"/>
      <c s="1367"/>
      <c s="1367"/>
      <c s="1489"/>
      <c s="354"/>
      <c s="355"/>
      <c s="1495">
        <f>INDEX(PT_DIFFERENTIATION_NUM_TER,MATCH(B3,PT_DIFFERENTIATION_TER_ID,0))</f>
      </c>
      <c s="310" t="s">
        <v>397</v>
      </c>
      <c s="302"/>
      <c s="2244"/>
      <c s="2245"/>
      <c s="2245"/>
      <c s="2245"/>
      <c s="2245"/>
      <c s="2245"/>
      <c s="2245"/>
      <c s="2245"/>
      <c s="2245"/>
      <c s="2245"/>
      <c s="2246"/>
      <c s="2244">
        <f>INDEX(PT_DIFFERENTIATION_TER,MATCH(B3,PT_DIFFERENTIATION_TER_ID,0))</f>
      </c>
      <c s="2245"/>
      <c s="2245"/>
      <c s="2245"/>
      <c s="2245"/>
      <c s="2245"/>
      <c s="2245"/>
      <c s="2245"/>
      <c s="2245"/>
      <c s="2245"/>
      <c s="2245"/>
      <c s="2246"/>
      <c s="1260" t="s">
        <v>398</v>
      </c>
      <c r="AU3" s="502"/>
      <c s="502" t="str">
        <f>IF(T3="","",T3)</f>
        <v>Территория действия тарифа</v>
      </c>
      <c s="502"/>
      <c s="502"/>
      <c s="1157">
        <v>0</v>
      </c>
    </row>
    <row r="4" spans="1:51" ht="23.25" customHeight="1" hidden="1">
      <c r="A4" s="1365"/>
      <c s="1365"/>
      <c s="1365"/>
      <c s="1365"/>
      <c s="2261"/>
      <c s="2261"/>
      <c s="2260">
        <v>1</v>
      </c>
      <c s="1365"/>
      <c s="1365"/>
      <c s="1365"/>
      <c s="1365"/>
      <c s="1366"/>
      <c s="1367"/>
      <c s="1367"/>
      <c s="1367"/>
      <c s="356"/>
      <c s="354"/>
      <c s="355"/>
      <c s="1495">
        <f>INDEX(PT_DIFFERENTIATION_NUM_CS,MATCH(C4,PT_DIFFERENTIATION_CS_ID,0))</f>
      </c>
      <c s="311" t="s">
        <v>530</v>
      </c>
      <c s="302"/>
      <c s="2244"/>
      <c s="2245"/>
      <c s="2245"/>
      <c s="2245"/>
      <c s="2245"/>
      <c s="2245"/>
      <c s="2245"/>
      <c s="2245"/>
      <c s="2245"/>
      <c s="2245"/>
      <c s="2246"/>
      <c s="2244">
        <f>INDEX(PT_DIFFERENTIATION_CS,MATCH(C4,PT_DIFFERENTIATION_CS_ID,0))</f>
      </c>
      <c s="2245"/>
      <c s="2245"/>
      <c s="2245"/>
      <c s="2245"/>
      <c s="2245"/>
      <c s="2245"/>
      <c s="2245"/>
      <c s="2245"/>
      <c s="2245"/>
      <c s="2245"/>
      <c s="2246"/>
      <c s="1260" t="s">
        <v>531</v>
      </c>
      <c r="AU4" s="502"/>
      <c s="502" t="str">
        <f>IF(T4="","",T4)</f>
        <v>Наименование централизованной системы горячего водоснабжения</v>
      </c>
      <c s="502"/>
      <c s="502"/>
      <c s="1157">
        <v>0</v>
      </c>
    </row>
    <row r="5" spans="1:51" ht="23.25" customHeight="1" hidden="1">
      <c r="A5" s="1365"/>
      <c s="1365"/>
      <c s="1365"/>
      <c s="1365"/>
      <c s="2261"/>
      <c s="2261"/>
      <c s="2261"/>
      <c s="2261"/>
      <c s="2258">
        <f>S4&amp;".1"</f>
      </c>
      <c s="1365"/>
      <c s="1365"/>
      <c s="1366"/>
      <c r="P5" s="2259">
        <v>1</v>
      </c>
      <c s="1483"/>
      <c s="358"/>
      <c s="1495">
        <f>$I5</f>
      </c>
      <c s="287" t="s">
        <v>483</v>
      </c>
      <c s="302"/>
      <c s="2352"/>
      <c s="2353"/>
      <c s="2353"/>
      <c s="2353"/>
      <c s="2353"/>
      <c s="2353"/>
      <c s="2353"/>
      <c s="2353"/>
      <c s="2353"/>
      <c s="2353"/>
      <c s="2354"/>
      <c s="2355"/>
      <c s="2356"/>
      <c s="2356"/>
      <c s="2356"/>
      <c s="2356"/>
      <c s="2356"/>
      <c s="2356"/>
      <c s="2356"/>
      <c s="2356"/>
      <c s="2356"/>
      <c s="2356"/>
      <c s="2357"/>
      <c s="1260" t="s">
        <v>484</v>
      </c>
      <c r="AU5" s="502"/>
      <c s="502" t="str">
        <f>IF(T5="","",T5)</f>
        <v>Наименование признака дифференциации</v>
      </c>
      <c s="502"/>
      <c s="502"/>
      <c s="1157">
        <v>0</v>
      </c>
    </row>
    <row r="6" spans="1:51" ht="23.25" customHeight="1" hidden="1">
      <c r="A6" s="1365"/>
      <c s="1365"/>
      <c s="1365"/>
      <c s="1365"/>
      <c s="2261"/>
      <c s="2261"/>
      <c s="2261"/>
      <c s="2261"/>
      <c s="2288"/>
      <c s="2258">
        <f>I5&amp;".1"</f>
      </c>
      <c s="1365"/>
      <c s="1366" t="s">
        <v>406</v>
      </c>
      <c r="P6" s="2259"/>
      <c s="2259">
        <v>1</v>
      </c>
      <c s="359"/>
      <c s="1495">
        <f>$J6</f>
      </c>
      <c s="288" t="s">
        <v>407</v>
      </c>
      <c s="302"/>
      <c s="2247"/>
      <c s="2248"/>
      <c s="2248"/>
      <c s="2248"/>
      <c s="2248"/>
      <c s="2248"/>
      <c s="2248"/>
      <c s="2248"/>
      <c s="2248"/>
      <c s="2248"/>
      <c s="2249"/>
      <c s="2247"/>
      <c s="2248"/>
      <c s="2248"/>
      <c s="2248"/>
      <c s="2248"/>
      <c s="2248"/>
      <c s="2248"/>
      <c s="2248"/>
      <c s="2248"/>
      <c s="2248"/>
      <c s="2248"/>
      <c s="2249"/>
      <c s="1309" t="s">
        <v>485</v>
      </c>
      <c r="AU6" s="502"/>
      <c s="502" t="str">
        <f>IF(T6="","",T6)</f>
        <v>Группа потребителей</v>
      </c>
      <c s="502"/>
      <c s="502"/>
      <c s="1157">
        <v>0</v>
      </c>
    </row>
    <row r="7" spans="1:51" ht="23.25" customHeight="1" hidden="1">
      <c r="A7" s="1365"/>
      <c s="1365"/>
      <c s="1365"/>
      <c s="1365"/>
      <c s="2261"/>
      <c s="2261"/>
      <c s="2261"/>
      <c s="2261"/>
      <c s="2288"/>
      <c s="2288"/>
      <c s="2258">
        <f>J6&amp;".1"</f>
      </c>
      <c s="1366"/>
      <c r="P7" s="2259"/>
      <c s="2259"/>
      <c s="359">
        <v>1</v>
      </c>
      <c s="1495">
        <f>$K7</f>
      </c>
      <c s="1439"/>
      <c s="302"/>
      <c s="753"/>
      <c s="753"/>
      <c s="753"/>
      <c s="753"/>
      <c s="753"/>
      <c s="753"/>
      <c s="753"/>
      <c s="2267"/>
      <c s="2109" t="s">
        <v>65</v>
      </c>
      <c s="2267"/>
      <c s="2109" t="s">
        <v>65</v>
      </c>
      <c s="753"/>
      <c s="753"/>
      <c s="753"/>
      <c s="753"/>
      <c s="753"/>
      <c s="753"/>
      <c s="753"/>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STRCHECKDATE(V8:AR8)</f>
      </c>
      <c s="502"/>
      <c s="502" t="str">
        <f>IF(T7="","",T7)</f>
        <v/>
      </c>
      <c s="502"/>
      <c s="502"/>
      <c s="1157">
        <v>0</v>
      </c>
    </row>
    <row r="8" spans="1:51" ht="14.25" customHeight="1" hidden="1">
      <c r="A8" s="1365"/>
      <c s="1365"/>
      <c s="1365"/>
      <c s="1365"/>
      <c s="2261"/>
      <c s="2261"/>
      <c s="2261"/>
      <c s="2261"/>
      <c s="2288"/>
      <c s="2288"/>
      <c s="2258"/>
      <c s="1366"/>
      <c r="P8" s="2259"/>
      <c s="2259"/>
      <c s="359"/>
      <c s="1492"/>
      <c s="302"/>
      <c s="302"/>
      <c s="327"/>
      <c s="327"/>
      <c s="327"/>
      <c s="327"/>
      <c s="327"/>
      <c s="327"/>
      <c s="327"/>
      <c s="2268"/>
      <c s="2109"/>
      <c s="2268"/>
      <c s="2109"/>
      <c s="327"/>
      <c s="327"/>
      <c s="327"/>
      <c s="327"/>
      <c s="327"/>
      <c s="327"/>
      <c s="327"/>
      <c s="2268"/>
      <c s="2109"/>
      <c s="2290"/>
      <c s="2109"/>
      <c s="1441"/>
      <c s="2351"/>
      <c r="AU8" s="502"/>
      <c s="502" t="str">
        <f>IF(T8="","",T8)</f>
        <v/>
      </c>
      <c s="502"/>
      <c s="502"/>
      <c s="1157">
        <v>0</v>
      </c>
    </row>
    <row r="9" spans="1:51" ht="21" customHeight="1" hidden="1">
      <c r="A9" s="1365"/>
      <c s="1365"/>
      <c s="1365"/>
      <c s="1365"/>
      <c s="2261"/>
      <c s="2261"/>
      <c s="2261"/>
      <c s="2261"/>
      <c s="2288"/>
      <c s="2258"/>
      <c s="1365"/>
      <c s="1366"/>
      <c r="P9" s="2259"/>
      <c s="2259"/>
      <c s="358"/>
      <c s="1280"/>
      <c s="289" t="s">
        <v>486</v>
      </c>
      <c s="369"/>
      <c s="369"/>
      <c s="602"/>
      <c s="602"/>
      <c s="602"/>
      <c s="602"/>
      <c s="602"/>
      <c s="602"/>
      <c s="369"/>
      <c s="369"/>
      <c s="369"/>
      <c s="369"/>
      <c s="369"/>
      <c s="602"/>
      <c s="602"/>
      <c s="602"/>
      <c s="602"/>
      <c s="602"/>
      <c s="369"/>
      <c s="369"/>
      <c s="369"/>
      <c s="369"/>
      <c s="369"/>
      <c s="369"/>
      <c s="1260" t="s">
        <v>487</v>
      </c>
      <c r="AU9" s="502"/>
      <c s="502" t="str">
        <f>IF(T9="","",T9)</f>
        <v>Добавить значение признака дифференциации</v>
      </c>
      <c s="502"/>
      <c s="502"/>
      <c s="1157">
        <v>0</v>
      </c>
    </row>
    <row r="10" spans="1:51" ht="21" customHeight="1" hidden="1">
      <c r="A10" s="1365"/>
      <c s="1365"/>
      <c s="1365"/>
      <c s="1365"/>
      <c s="2261"/>
      <c s="2261"/>
      <c s="2261"/>
      <c s="2261"/>
      <c s="2258"/>
      <c s="1365"/>
      <c s="1365"/>
      <c s="1366"/>
      <c r="P10" s="2259"/>
      <c s="1483"/>
      <c s="358"/>
      <c s="1280"/>
      <c s="367" t="s">
        <v>412</v>
      </c>
      <c s="369"/>
      <c s="369"/>
      <c s="602"/>
      <c s="602"/>
      <c s="602"/>
      <c s="602"/>
      <c s="602"/>
      <c s="602"/>
      <c s="369"/>
      <c s="369"/>
      <c s="369"/>
      <c s="368"/>
      <c s="369"/>
      <c s="602"/>
      <c s="602"/>
      <c s="602"/>
      <c s="602"/>
      <c s="602"/>
      <c s="369"/>
      <c s="369"/>
      <c s="369"/>
      <c s="369"/>
      <c s="368"/>
      <c s="369"/>
      <c s="1442"/>
      <c r="AU10" s="502"/>
      <c s="502" t="str">
        <f>IF(T10="","",T10)</f>
        <v>Добавить группу потребителей</v>
      </c>
      <c s="502"/>
      <c s="502"/>
      <c s="1157">
        <v>0</v>
      </c>
    </row>
    <row r="11" spans="1:51" ht="21" customHeight="1" hidden="1">
      <c r="A11" s="1365"/>
      <c s="1365"/>
      <c s="1365"/>
      <c s="1365"/>
      <c s="2261"/>
      <c s="2261"/>
      <c s="2261"/>
      <c s="2260"/>
      <c s="1365"/>
      <c s="1365"/>
      <c s="1365"/>
      <c s="1366"/>
      <c s="1367"/>
      <c s="1367"/>
      <c s="539"/>
      <c s="362"/>
      <c s="377"/>
      <c s="357"/>
      <c s="1280"/>
      <c s="374" t="s">
        <v>488</v>
      </c>
      <c s="369"/>
      <c s="369"/>
      <c s="602"/>
      <c s="602"/>
      <c s="602"/>
      <c s="602"/>
      <c s="602"/>
      <c s="602"/>
      <c s="369"/>
      <c s="369"/>
      <c s="369"/>
      <c s="368"/>
      <c s="369"/>
      <c s="602"/>
      <c s="602"/>
      <c s="602"/>
      <c s="602"/>
      <c s="602"/>
      <c s="369"/>
      <c s="369"/>
      <c s="369"/>
      <c s="369"/>
      <c s="368"/>
      <c s="369"/>
      <c s="305"/>
      <c r="AU11" s="502"/>
      <c s="502" t="str">
        <f>IF(T11="","",T11)</f>
        <v>Добавить наименование признака дифференциации</v>
      </c>
      <c s="502"/>
      <c s="502"/>
      <c s="1157">
        <v>0</v>
      </c>
    </row>
    <row r="12" spans="1:51" s="1644" customFormat="1" ht="14.25" customHeight="1" hidden="1">
      <c r="A12" s="1345"/>
      <c s="1345"/>
      <c s="1316"/>
      <c s="1316"/>
      <c s="2261"/>
      <c s="2260"/>
      <c s="1316"/>
      <c s="1316"/>
      <c s="1316"/>
      <c s="1316"/>
      <c s="1316"/>
      <c s="1496"/>
      <c s="1323"/>
      <c s="1323"/>
      <c r="P12" s="1318"/>
      <c s="1319"/>
      <c s="1318"/>
      <c s="1324"/>
      <c s="1327" t="s">
        <v>415</v>
      </c>
      <c s="1326"/>
      <c s="1326"/>
      <c s="1326"/>
      <c s="1326"/>
      <c s="1326"/>
      <c s="1326"/>
      <c s="1326"/>
      <c s="1326"/>
      <c s="1326"/>
      <c s="1326"/>
      <c s="1326"/>
      <c s="1326"/>
      <c s="1326"/>
      <c s="1326"/>
      <c s="1326"/>
      <c s="1326"/>
      <c s="1326"/>
      <c s="1326"/>
      <c s="1326"/>
      <c s="1326"/>
      <c s="1326"/>
      <c s="1326"/>
      <c s="1326"/>
      <c s="1326"/>
      <c s="1326"/>
      <c r="AU12" s="791"/>
      <c s="791" t="str">
        <f>IF(T12="","",T12)</f>
        <v>Добавить централизованную систему для дифференциации</v>
      </c>
      <c s="791"/>
      <c s="791"/>
      <c s="520">
        <v>0</v>
      </c>
    </row>
    <row r="13" spans="1:51"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r="AU13" s="502"/>
      <c s="502" t="str">
        <f>IF(T13="","",T13)</f>
        <v>Добавить территорию для дифференциации</v>
      </c>
      <c s="502"/>
      <c s="502"/>
      <c s="513">
        <v>0</v>
      </c>
    </row>
    <row r="14" spans="32:51" ht="14.25" customHeight="1" hidden="1">
      <c r="AF14" s="329"/>
      <c r="AQ14" s="329"/>
      <c r="AY14" s="1157">
        <v>0</v>
      </c>
    </row>
    <row r="15" spans="33:51" ht="14.25" customHeight="1" hidden="1">
      <c r="AG15" s="1362"/>
      <c s="1362"/>
      <c s="1362"/>
      <c s="1362"/>
      <c s="1362"/>
      <c s="1362"/>
      <c s="1362"/>
      <c s="2269"/>
      <c s="2270" t="s">
        <v>65</v>
      </c>
      <c s="2269"/>
      <c s="2270" t="s">
        <v>65</v>
      </c>
      <c r="AY15" s="1157">
        <v>0</v>
      </c>
    </row>
    <row r="16" spans="33:51" ht="14.25" customHeight="1" hidden="1">
      <c r="AG16" s="1362"/>
      <c s="1362"/>
      <c s="1362"/>
      <c s="1362"/>
      <c s="1362"/>
      <c s="1362"/>
      <c s="1362"/>
      <c s="2270"/>
      <c s="2270"/>
      <c s="2270"/>
      <c s="2270"/>
      <c r="AY16" s="1157">
        <v>0</v>
      </c>
    </row>
    <row r="17" spans="43:51" ht="14.25" customHeight="1" hidden="1">
      <c r="AQ17" s="329"/>
      <c r="AY17" s="1157">
        <v>0</v>
      </c>
    </row>
    <row r="18" spans="12:51" s="1368" customFormat="1" ht="22.5" customHeight="1" hidden="1">
      <c r="L18" s="1480"/>
      <c s="1364"/>
      <c s="1364"/>
      <c s="1369" t="s">
        <v>417</v>
      </c>
      <c s="1364"/>
      <c s="1373"/>
      <c s="1373"/>
      <c s="731"/>
      <c r="W18" s="1368"/>
      <c s="1368"/>
      <c s="1368"/>
      <c s="1368"/>
      <c s="1368"/>
      <c s="1368"/>
      <c s="1369"/>
      <c r="AE18" s="1369"/>
      <c s="1368"/>
      <c r="AH18" s="1368"/>
      <c s="1368"/>
      <c s="1368"/>
      <c s="1368"/>
      <c s="1368"/>
      <c r="AN18" s="1369"/>
      <c r="AP18" s="1369"/>
      <c s="1368"/>
      <c r="AT18" s="513"/>
      <c s="513"/>
      <c s="513"/>
      <c s="513"/>
      <c s="513"/>
      <c s="1162">
        <v>0</v>
      </c>
    </row>
    <row r="19" spans="12:51" s="1368" customFormat="1" ht="14.25" customHeight="1" hidden="1">
      <c r="L19" s="1480"/>
      <c s="1364"/>
      <c s="1364"/>
      <c s="1364"/>
      <c s="1364"/>
      <c s="1373"/>
      <c s="1373"/>
      <c s="731"/>
      <c r="W19" s="1368"/>
      <c s="1368"/>
      <c s="1368"/>
      <c s="1368"/>
      <c s="1368"/>
      <c s="1368"/>
      <c r="AF19" s="1368"/>
      <c r="AH19" s="1368"/>
      <c s="1368"/>
      <c s="1368"/>
      <c s="1368"/>
      <c s="1368"/>
      <c r="AQ19" s="1368"/>
      <c r="AT19" s="513"/>
      <c s="513"/>
      <c s="513"/>
      <c s="513"/>
      <c s="513"/>
      <c s="1162">
        <v>0</v>
      </c>
    </row>
    <row r="20" spans="12:51" s="1368" customFormat="1" ht="12" customHeight="1" hidden="1">
      <c r="L20" s="1480"/>
      <c s="1364"/>
      <c s="1364"/>
      <c s="1366" t="s">
        <v>418</v>
      </c>
      <c s="1364"/>
      <c s="1444"/>
      <c s="1444"/>
      <c s="731"/>
      <c s="1162" t="s">
        <v>419</v>
      </c>
      <c r="W20" s="1368"/>
      <c s="1368"/>
      <c s="1368"/>
      <c s="1368"/>
      <c s="1368"/>
      <c s="1368"/>
      <c r="AD20" s="188" t="s">
        <v>420</v>
      </c>
      <c r="AF20" s="188" t="s">
        <v>421</v>
      </c>
      <c s="1162" t="s">
        <v>419</v>
      </c>
      <c s="1368"/>
      <c s="1368"/>
      <c s="1368"/>
      <c s="1368"/>
      <c s="1368"/>
      <c r="AO20" s="188" t="s">
        <v>422</v>
      </c>
      <c r="AQ20" s="188" t="s">
        <v>421</v>
      </c>
      <c r="AY20" s="1162">
        <v>0</v>
      </c>
    </row>
    <row r="21" spans="15:15 51:51" ht="14.25" customHeight="1" hidden="1">
      <c r="O21" s="1366"/>
      <c r="AY21" s="1157">
        <v>0</v>
      </c>
    </row>
    <row r="22" spans="15:15 51:51" ht="14.25" customHeight="1" hidden="1">
      <c r="O22" s="1366"/>
      <c r="AY22" s="1157">
        <v>0</v>
      </c>
    </row>
    <row r="23" spans="17:51" ht="14.7" customHeight="1">
      <c r="Q23" s="378"/>
      <c s="378"/>
      <c s="1277"/>
      <c s="365"/>
      <c s="365"/>
      <c s="511"/>
      <c s="1637"/>
      <c s="1637"/>
      <c s="1637"/>
      <c s="1637"/>
      <c s="1637"/>
      <c s="1637"/>
      <c s="511"/>
      <c s="511"/>
      <c s="511"/>
      <c s="511"/>
      <c s="511"/>
      <c s="1637"/>
      <c s="1637"/>
      <c s="1637"/>
      <c s="1637"/>
      <c s="1637"/>
      <c s="511"/>
      <c s="511"/>
      <c s="511"/>
      <c s="511"/>
      <c s="511"/>
      <c r="AY23" s="1157">
        <v>14</v>
      </c>
    </row>
    <row r="24" spans="17:51" ht="26.25" customHeight="1">
      <c r="Q24" s="378"/>
      <c s="378"/>
      <c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0"/>
      <c s="2250"/>
      <c s="2250"/>
      <c s="2250"/>
      <c s="2250"/>
      <c s="2250"/>
      <c s="2250"/>
      <c s="2250"/>
      <c s="2250"/>
      <c s="2250"/>
      <c s="2250"/>
      <c s="2250"/>
      <c s="2250"/>
      <c s="2250"/>
      <c s="2250"/>
      <c s="2250"/>
      <c s="2250"/>
      <c s="2250"/>
      <c s="2250"/>
      <c s="2250"/>
      <c s="2250"/>
      <c s="2250"/>
      <c s="2250"/>
      <c s="1245"/>
      <c r="AY24" s="1157">
        <v>25</v>
      </c>
    </row>
    <row r="25" spans="17:51" ht="14.7" customHeight="1">
      <c r="Q25" s="378"/>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1245"/>
      <c r="AY25" s="1157">
        <v>14</v>
      </c>
    </row>
    <row r="26" spans="17:51" ht="14.25" customHeight="1" hidden="1">
      <c r="Q26" s="378"/>
      <c s="378"/>
      <c s="1277"/>
      <c s="365"/>
      <c s="365"/>
      <c s="324"/>
      <c s="324"/>
      <c s="324"/>
      <c s="324"/>
      <c s="324"/>
      <c s="324"/>
      <c s="324"/>
      <c s="324"/>
      <c s="324"/>
      <c s="324"/>
      <c s="324"/>
      <c s="324"/>
      <c s="324"/>
      <c s="324"/>
      <c s="324"/>
      <c s="324"/>
      <c s="324"/>
      <c s="324"/>
      <c s="324"/>
      <c s="324"/>
      <c s="324"/>
      <c s="324"/>
      <c s="511"/>
      <c r="AY26" s="1157">
        <v>0</v>
      </c>
    </row>
    <row r="27" spans="1:51"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2253"/>
      <c s="2253"/>
      <c s="2253"/>
      <c s="2253"/>
      <c s="328"/>
      <c s="2253" t="str">
        <f>IF(TITLE_NAME_OR_PR_CHANGE="",IF(TITLE_NAME_OR_PR="","",TITLE_NAME_OR_PR),TITLE_NAME_OR_PR_CHANGE)</f>
        <v/>
      </c>
      <c s="2253"/>
      <c s="2253"/>
      <c s="2253"/>
      <c s="2253"/>
      <c s="2253"/>
      <c s="2253"/>
      <c s="2253"/>
      <c s="2253"/>
      <c s="2253"/>
      <c s="328"/>
      <c s="328"/>
      <c s="282"/>
      <c s="370"/>
      <c s="370"/>
      <c s="370"/>
      <c s="370"/>
      <c s="370"/>
      <c s="420">
        <v>0</v>
      </c>
    </row>
    <row r="28" spans="1:51"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29" spans="1:51"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0" spans="1:51"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2253"/>
      <c s="2253"/>
      <c s="2253"/>
      <c s="2253"/>
      <c s="328"/>
      <c s="2253" t="str">
        <f>IF(TITLE_IST_PUB_CHANGE="",IF(TITLE_IST_PUB="","",TITLE_IST_PUB),TITLE_IST_PUB_CHANGE)</f>
        <v/>
      </c>
      <c s="2253"/>
      <c s="2253"/>
      <c s="2253"/>
      <c s="2253"/>
      <c s="2253"/>
      <c s="2253"/>
      <c s="2253"/>
      <c s="2253"/>
      <c s="2253"/>
      <c s="328"/>
      <c s="328"/>
      <c s="282"/>
      <c s="370"/>
      <c s="370"/>
      <c s="370"/>
      <c s="370"/>
      <c s="370"/>
      <c s="420">
        <v>0</v>
      </c>
    </row>
    <row r="31" spans="17:51" ht="14.25" customHeight="1" hidden="1">
      <c r="Q31" s="378"/>
      <c s="378"/>
      <c s="1277"/>
      <c s="365"/>
      <c s="365"/>
      <c s="324"/>
      <c s="324"/>
      <c s="324"/>
      <c s="324"/>
      <c s="324"/>
      <c s="324"/>
      <c s="324"/>
      <c s="324"/>
      <c s="324"/>
      <c s="324"/>
      <c s="324"/>
      <c s="324"/>
      <c s="324"/>
      <c s="324"/>
      <c s="324"/>
      <c s="324"/>
      <c s="324"/>
      <c s="324"/>
      <c s="324"/>
      <c s="324"/>
      <c s="324"/>
      <c s="324"/>
      <c s="511"/>
      <c r="AY31" s="1157">
        <v>0</v>
      </c>
    </row>
    <row r="32" spans="1:51"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33" spans="1:51"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4" spans="1:51" s="1855" customFormat="1" ht="1.05" customHeight="1">
      <c r="A34" s="1370"/>
      <c s="1370"/>
      <c s="1370"/>
      <c s="1370"/>
      <c s="1370"/>
      <c s="1370"/>
      <c s="1370"/>
      <c s="1370"/>
      <c s="1370"/>
      <c s="1370"/>
      <c s="1370"/>
      <c s="1371"/>
      <c s="1370"/>
      <c s="1370"/>
      <c s="1370"/>
      <c r="S34" s="325"/>
      <c s="325"/>
      <c s="1490"/>
      <c s="328"/>
      <c s="1637"/>
      <c s="1637"/>
      <c s="1637"/>
      <c s="1637"/>
      <c s="1637"/>
      <c s="1637"/>
      <c s="328"/>
      <c s="328"/>
      <c s="328"/>
      <c s="280" t="s">
        <v>427</v>
      </c>
      <c s="328"/>
      <c s="1637"/>
      <c s="1637"/>
      <c s="1637"/>
      <c s="1637"/>
      <c s="1637"/>
      <c s="328"/>
      <c s="328"/>
      <c s="328"/>
      <c s="328"/>
      <c s="280" t="s">
        <v>427</v>
      </c>
      <c r="AT34" s="370"/>
      <c s="370"/>
      <c s="370"/>
      <c s="370"/>
      <c s="370"/>
      <c s="420">
        <v>1</v>
      </c>
    </row>
    <row r="35" spans="17:51" ht="14.7" customHeight="1">
      <c r="Q35" s="378"/>
      <c s="378"/>
      <c s="1277"/>
      <c s="365"/>
      <c s="1246"/>
      <c s="2254"/>
      <c s="2254"/>
      <c s="2254"/>
      <c s="2254"/>
      <c s="2254"/>
      <c s="2254"/>
      <c s="2254"/>
      <c s="2254"/>
      <c s="2254"/>
      <c s="2254"/>
      <c s="2254"/>
      <c s="2254"/>
      <c s="2254"/>
      <c s="2254"/>
      <c s="2254"/>
      <c s="2254"/>
      <c s="2254"/>
      <c s="2254"/>
      <c s="2254"/>
      <c s="2254"/>
      <c s="2254"/>
      <c s="2254"/>
      <c r="AY35" s="1157">
        <v>14</v>
      </c>
    </row>
    <row r="36" spans="17:51" ht="14.7" customHeight="1">
      <c r="Q36" s="378"/>
      <c s="378"/>
      <c s="2129" t="s">
        <v>300</v>
      </c>
      <c s="2129"/>
      <c s="2129"/>
      <c s="2129"/>
      <c s="2129"/>
      <c s="2129"/>
      <c s="2129"/>
      <c s="2129"/>
      <c s="2129"/>
      <c s="2129"/>
      <c s="2129"/>
      <c s="2129"/>
      <c s="2129"/>
      <c s="2129"/>
      <c s="2129"/>
      <c s="2129"/>
      <c s="2129"/>
      <c s="2129"/>
      <c s="2129"/>
      <c s="2129"/>
      <c s="2129"/>
      <c s="2129"/>
      <c s="2129"/>
      <c s="2129"/>
      <c s="2129"/>
      <c s="2129"/>
      <c s="2129" t="s">
        <v>301</v>
      </c>
      <c r="AY36" s="1157">
        <v>14</v>
      </c>
    </row>
    <row r="37" spans="17:51" ht="14.7" customHeight="1">
      <c r="Q37" s="378"/>
      <c s="378"/>
      <c s="2275" t="s">
        <v>87</v>
      </c>
      <c s="2211" t="s">
        <v>428</v>
      </c>
      <c s="303"/>
      <c s="2276" t="s">
        <v>429</v>
      </c>
      <c s="2293"/>
      <c s="2293"/>
      <c s="2293"/>
      <c s="2293"/>
      <c s="2293"/>
      <c s="2293"/>
      <c s="2277"/>
      <c s="2277"/>
      <c s="2278"/>
      <c s="2279" t="s">
        <v>430</v>
      </c>
      <c s="2276" t="s">
        <v>429</v>
      </c>
      <c s="2277"/>
      <c s="2277"/>
      <c s="2277"/>
      <c s="2277"/>
      <c s="2277"/>
      <c s="2277"/>
      <c s="2277"/>
      <c s="2277"/>
      <c s="2278"/>
      <c s="2279" t="s">
        <v>431</v>
      </c>
      <c s="2282" t="s">
        <v>432</v>
      </c>
      <c s="2129"/>
      <c r="AY37" s="1157">
        <v>14</v>
      </c>
    </row>
    <row r="38" spans="17:51" ht="19.95" customHeight="1">
      <c r="Q38" s="378"/>
      <c s="378"/>
      <c s="2275"/>
      <c s="2211"/>
      <c s="1033"/>
      <c s="2368" t="s">
        <v>532</v>
      </c>
      <c s="2367" t="s">
        <v>533</v>
      </c>
      <c s="2367"/>
      <c s="2367"/>
      <c s="2367" t="s">
        <v>534</v>
      </c>
      <c s="2367"/>
      <c s="2367"/>
      <c s="2296" t="s">
        <v>436</v>
      </c>
      <c s="2315"/>
      <c s="2316"/>
      <c s="2280"/>
      <c s="2368" t="s">
        <v>532</v>
      </c>
      <c s="2367" t="s">
        <v>533</v>
      </c>
      <c s="2367"/>
      <c s="2367"/>
      <c s="2367" t="s">
        <v>534</v>
      </c>
      <c s="2367"/>
      <c s="2367"/>
      <c s="2296" t="s">
        <v>436</v>
      </c>
      <c s="2315"/>
      <c s="2316"/>
      <c s="2280"/>
      <c s="2283"/>
      <c s="2129"/>
      <c r="AY38" s="1157">
        <v>19</v>
      </c>
    </row>
    <row r="39" spans="1:51" s="1637" customFormat="1" ht="19.95" customHeight="1">
      <c r="A39" s="1368"/>
      <c s="1368"/>
      <c s="1368"/>
      <c s="1368"/>
      <c s="1368"/>
      <c s="1368"/>
      <c s="1368"/>
      <c s="1368"/>
      <c s="1368"/>
      <c s="1368"/>
      <c s="1368"/>
      <c s="1953"/>
      <c s="1364"/>
      <c s="1364"/>
      <c s="1364"/>
      <c s="1967"/>
      <c s="378"/>
      <c s="378"/>
      <c s="2275"/>
      <c s="2211"/>
      <c s="1033"/>
      <c s="2368"/>
      <c s="2367" t="s">
        <v>535</v>
      </c>
      <c s="2367" t="s">
        <v>536</v>
      </c>
      <c s="2367"/>
      <c s="2367" t="s">
        <v>537</v>
      </c>
      <c s="2367" t="s">
        <v>536</v>
      </c>
      <c s="2367"/>
      <c s="2297"/>
      <c s="2317"/>
      <c s="2318"/>
      <c s="2280"/>
      <c s="2368"/>
      <c s="2367" t="s">
        <v>535</v>
      </c>
      <c s="2367" t="s">
        <v>536</v>
      </c>
      <c s="2367"/>
      <c s="2367" t="s">
        <v>537</v>
      </c>
      <c s="2367" t="s">
        <v>536</v>
      </c>
      <c s="2367"/>
      <c s="2297"/>
      <c s="2317"/>
      <c s="2318"/>
      <c s="2280"/>
      <c s="2283"/>
      <c s="2129"/>
      <c s="1638"/>
      <c s="1638"/>
      <c s="1638"/>
      <c s="1638"/>
      <c s="1638"/>
      <c s="1633">
        <v>19</v>
      </c>
    </row>
    <row r="40" spans="1:51" ht="61.95" customHeight="1">
      <c r="A40" s="1372"/>
      <c s="1372" t="s">
        <v>137</v>
      </c>
      <c s="1372" t="s">
        <v>138</v>
      </c>
      <c s="1372" t="s">
        <v>139</v>
      </c>
      <c s="1366" t="s">
        <v>437</v>
      </c>
      <c s="1366" t="s">
        <v>438</v>
      </c>
      <c s="1366" t="s">
        <v>439</v>
      </c>
      <c s="1366"/>
      <c s="1366" t="s">
        <v>490</v>
      </c>
      <c s="1366" t="s">
        <v>442</v>
      </c>
      <c s="1366" t="s">
        <v>491</v>
      </c>
      <c s="1366" t="s">
        <v>418</v>
      </c>
      <c r="Q40" s="378"/>
      <c s="378"/>
      <c s="2275"/>
      <c s="2211"/>
      <c s="304"/>
      <c s="2368"/>
      <c s="2367"/>
      <c s="1985" t="s">
        <v>538</v>
      </c>
      <c s="1985" t="s">
        <v>539</v>
      </c>
      <c s="2367"/>
      <c s="1985" t="s">
        <v>540</v>
      </c>
      <c s="1985" t="s">
        <v>541</v>
      </c>
      <c s="1491" t="s">
        <v>446</v>
      </c>
      <c s="2272" t="s">
        <v>447</v>
      </c>
      <c s="2273"/>
      <c s="2281"/>
      <c s="2368"/>
      <c s="2367"/>
      <c s="1985" t="s">
        <v>538</v>
      </c>
      <c s="1985" t="s">
        <v>539</v>
      </c>
      <c s="2367"/>
      <c s="1985" t="s">
        <v>540</v>
      </c>
      <c s="1985" t="s">
        <v>541</v>
      </c>
      <c s="1491" t="s">
        <v>446</v>
      </c>
      <c s="2272" t="s">
        <v>447</v>
      </c>
      <c s="2273"/>
      <c s="2281"/>
      <c s="2284"/>
      <c s="2129"/>
      <c r="AY40" s="1157">
        <v>59</v>
      </c>
    </row>
    <row r="41" spans="1:51" s="1643" customFormat="1" ht="11.25" customHeight="1" hidden="1">
      <c r="A41" s="1372"/>
      <c s="1372"/>
      <c s="1372"/>
      <c s="1372"/>
      <c s="1372"/>
      <c s="1372"/>
      <c s="1372"/>
      <c s="1372"/>
      <c s="1372"/>
      <c s="1372"/>
      <c s="1372"/>
      <c s="1366"/>
      <c s="1364"/>
      <c s="1364"/>
      <c s="1364"/>
      <c s="1248"/>
      <c s="1249"/>
      <c s="1256">
        <v>1</v>
      </c>
      <c s="1279" t="s">
        <v>109</v>
      </c>
      <c s="1257" t="s">
        <v>110</v>
      </c>
      <c s="1247" t="str">
        <f ca="1">OFFSET(U41,0,-1)</f>
        <v>2</v>
      </c>
      <c s="1484">
        <f ca="1">OFFSET(V41,0,-1)+1</f>
        <v>3</v>
      </c>
      <c s="1343"/>
      <c s="1343"/>
      <c s="1343"/>
      <c s="1343"/>
      <c s="1343"/>
      <c s="1343"/>
      <c s="1484">
        <f ca="1">OFFSET(AC41,0,-1)+1</f>
        <v>1</v>
      </c>
      <c s="2274">
        <f ca="1">OFFSET(AD41,0,-1)+1</f>
        <v>2</v>
      </c>
      <c s="2274"/>
      <c s="1484">
        <f ca="1">OFFSET(AF41,0,-2)+1</f>
        <v>3</v>
      </c>
      <c s="1484">
        <f ca="1">OFFSET(AG41,0,-1)+1</f>
        <v>4</v>
      </c>
      <c s="1958"/>
      <c s="1958"/>
      <c s="1958"/>
      <c s="1958"/>
      <c s="1958"/>
      <c s="1484">
        <f ca="1">OFFSET(AM41,0,-1)+1</f>
        <v>1</v>
      </c>
      <c s="1484">
        <f ca="1">OFFSET(AN41,0,-1)+1</f>
        <v>2</v>
      </c>
      <c s="2274">
        <f ca="1">OFFSET(AO41,0,-1)+1</f>
        <v>3</v>
      </c>
      <c s="2274"/>
      <c s="1484">
        <f ca="1">OFFSET(AQ41,0,-2)+1</f>
        <v>4</v>
      </c>
      <c s="1247">
        <f ca="1">OFFSET(AR41,0,-1)</f>
        <v>4</v>
      </c>
      <c s="1484">
        <f ca="1">OFFSET(AS41,0,-1)+1</f>
        <v>5</v>
      </c>
      <c s="513"/>
      <c s="513"/>
      <c s="513"/>
      <c s="513"/>
      <c s="513"/>
      <c s="498">
        <v>0</v>
      </c>
    </row>
    <row r="42" spans="1:51" ht="24" customHeight="1">
      <c r="A42" s="1365" t="s">
        <v>251</v>
      </c>
      <c s="1365"/>
      <c s="1365"/>
      <c s="1365"/>
      <c s="2260">
        <v>1</v>
      </c>
      <c s="1365"/>
      <c s="1365"/>
      <c s="1365"/>
      <c s="1365"/>
      <c s="1365"/>
      <c s="1365"/>
      <c s="1366"/>
      <c s="1367"/>
      <c s="1367"/>
      <c s="1367"/>
      <c s="363"/>
      <c s="362"/>
      <c s="357"/>
      <c s="1495">
        <f>INDEX(PT_DIFFERENTIATION_NUM_NTAR,MATCH(A42,PT_DIFFERENTIATION_NTAR_ID,0))</f>
        <v>0</v>
      </c>
      <c s="300" t="s">
        <v>125</v>
      </c>
      <c s="302"/>
      <c s="2244"/>
      <c s="2245"/>
      <c s="2245"/>
      <c s="2245"/>
      <c s="2245"/>
      <c s="2245"/>
      <c s="2245"/>
      <c s="2245"/>
      <c s="2245"/>
      <c s="2245"/>
      <c s="2246"/>
      <c s="2244" t="str">
        <f>INDEX(PT_DIFFERENTIATION_NTAR,MATCH(A42,PT_DIFFERENTIATION_NTAR_ID,0))</f>
        <v/>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s="502" t="str">
        <f>IF(T42="","",T42)</f>
        <v>Наименование тарифа</v>
      </c>
      <c s="502"/>
      <c s="502"/>
      <c s="1157">
        <v>23</v>
      </c>
    </row>
    <row r="43" spans="1:51" ht="24" customHeight="1">
      <c r="A43" s="1365" t="s">
        <v>251</v>
      </c>
      <c s="1365" t="s">
        <v>252</v>
      </c>
      <c s="1365"/>
      <c s="1365"/>
      <c s="2261"/>
      <c s="2260">
        <v>1</v>
      </c>
      <c s="1365"/>
      <c s="1365"/>
      <c s="1365"/>
      <c s="1365"/>
      <c s="1365"/>
      <c s="1366"/>
      <c s="1367"/>
      <c s="1367"/>
      <c s="1367"/>
      <c s="1489"/>
      <c s="354"/>
      <c s="355"/>
      <c s="1495" t="str">
        <f>INDEX(PT_DIFFERENTIATION_NUM_TER,MATCH(B43,PT_DIFFERENTIATION_TER_ID,0))</f>
        <v>.</v>
      </c>
      <c s="310" t="s">
        <v>397</v>
      </c>
      <c s="302"/>
      <c s="2244"/>
      <c s="2245"/>
      <c s="2245"/>
      <c s="2245"/>
      <c s="2245"/>
      <c s="2245"/>
      <c s="2245"/>
      <c s="2245"/>
      <c s="2245"/>
      <c s="2245"/>
      <c s="2246"/>
      <c s="2244" t="str">
        <f>INDEX(PT_DIFFERENTIATION_TER,MATCH(B43,PT_DIFFERENTIATION_TER_ID,0))</f>
        <v/>
      </c>
      <c s="2245"/>
      <c s="2245"/>
      <c s="2245"/>
      <c s="2245"/>
      <c s="2245"/>
      <c s="2245"/>
      <c s="2245"/>
      <c s="2245"/>
      <c s="2245"/>
      <c s="2245"/>
      <c s="2246"/>
      <c s="1260" t="s">
        <v>398</v>
      </c>
      <c r="AU43" s="502"/>
      <c s="502" t="str">
        <f>IF(T43="","",T43)</f>
        <v>Территория действия тарифа</v>
      </c>
      <c s="502"/>
      <c s="502"/>
      <c s="1157">
        <v>23</v>
      </c>
    </row>
    <row r="44" spans="1:51" ht="24" customHeight="1">
      <c r="A44" s="1365" t="s">
        <v>251</v>
      </c>
      <c s="1365" t="s">
        <v>252</v>
      </c>
      <c s="1365" t="s">
        <v>253</v>
      </c>
      <c s="1365"/>
      <c s="2261"/>
      <c s="2261"/>
      <c s="2260">
        <v>1</v>
      </c>
      <c s="1365"/>
      <c s="1365"/>
      <c s="1365"/>
      <c s="1365"/>
      <c s="1366"/>
      <c s="1367"/>
      <c s="1367"/>
      <c s="1367"/>
      <c s="356"/>
      <c s="354"/>
      <c s="355"/>
      <c s="1495" t="str">
        <f>INDEX(PT_DIFFERENTIATION_NUM_CS,MATCH(C44,PT_DIFFERENTIATION_CS_ID,0))</f>
        <v>..</v>
      </c>
      <c s="311" t="s">
        <v>530</v>
      </c>
      <c s="302"/>
      <c s="2244"/>
      <c s="2245"/>
      <c s="2245"/>
      <c s="2245"/>
      <c s="2245"/>
      <c s="2245"/>
      <c s="2245"/>
      <c s="2245"/>
      <c s="2245"/>
      <c s="2245"/>
      <c s="2246"/>
      <c s="2244" t="str">
        <f>INDEX(PT_DIFFERENTIATION_CS,MATCH(C44,PT_DIFFERENTIATION_CS_ID,0))</f>
        <v/>
      </c>
      <c s="2245"/>
      <c s="2245"/>
      <c s="2245"/>
      <c s="2245"/>
      <c s="2245"/>
      <c s="2245"/>
      <c s="2245"/>
      <c s="2245"/>
      <c s="2245"/>
      <c s="2245"/>
      <c s="2246"/>
      <c s="1260" t="s">
        <v>531</v>
      </c>
      <c r="AU44" s="502"/>
      <c s="502" t="str">
        <f>IF(T44="","",T44)</f>
        <v>Наименование централизованной системы горячего водоснабжения</v>
      </c>
      <c s="502"/>
      <c s="502"/>
      <c s="1157">
        <v>23</v>
      </c>
    </row>
    <row r="45" spans="1:51" ht="24" customHeight="1">
      <c r="A45" s="1365" t="s">
        <v>251</v>
      </c>
      <c s="1365" t="s">
        <v>252</v>
      </c>
      <c s="1365" t="s">
        <v>253</v>
      </c>
      <c s="1365" t="s">
        <v>542</v>
      </c>
      <c s="2261"/>
      <c s="2261"/>
      <c s="2261"/>
      <c s="2261"/>
      <c s="2258" t="str">
        <f>S44&amp;".1"</f>
        <v>...1</v>
      </c>
      <c s="1365"/>
      <c s="1365"/>
      <c s="1366"/>
      <c r="P45" s="2259">
        <v>1</v>
      </c>
      <c s="1483"/>
      <c s="358"/>
      <c s="1495" t="str">
        <f>$I45</f>
        <v>...1</v>
      </c>
      <c s="287" t="s">
        <v>483</v>
      </c>
      <c s="302"/>
      <c s="2352"/>
      <c s="2353"/>
      <c s="2353"/>
      <c s="2353"/>
      <c s="2353"/>
      <c s="2353"/>
      <c s="2353"/>
      <c s="2353"/>
      <c s="2353"/>
      <c s="2353"/>
      <c s="2354"/>
      <c s="2355"/>
      <c s="2356"/>
      <c s="2356"/>
      <c s="2356"/>
      <c s="2356"/>
      <c s="2356"/>
      <c s="2356"/>
      <c s="2356"/>
      <c s="2356"/>
      <c s="2356"/>
      <c s="2356"/>
      <c s="2357"/>
      <c s="1260" t="s">
        <v>484</v>
      </c>
      <c r="AU45" s="502"/>
      <c s="502" t="str">
        <f>IF(T45="","",T45)</f>
        <v>Наименование признака дифференциации</v>
      </c>
      <c s="502"/>
      <c s="502"/>
      <c s="1157">
        <v>23</v>
      </c>
    </row>
    <row r="46" spans="1:51" ht="24" customHeight="1">
      <c r="A46" s="1365" t="s">
        <v>251</v>
      </c>
      <c s="1365" t="s">
        <v>252</v>
      </c>
      <c s="1365" t="s">
        <v>253</v>
      </c>
      <c s="1365" t="s">
        <v>542</v>
      </c>
      <c s="2261"/>
      <c s="2261"/>
      <c s="2261"/>
      <c s="2261"/>
      <c s="2288"/>
      <c s="2258" t="str">
        <f>I45&amp;".1"</f>
        <v>...1.1</v>
      </c>
      <c s="1365"/>
      <c s="1366" t="s">
        <v>406</v>
      </c>
      <c r="P46" s="2259"/>
      <c s="2259">
        <v>1</v>
      </c>
      <c s="359"/>
      <c s="1495" t="str">
        <f>$J46</f>
        <v>...1.1</v>
      </c>
      <c s="288" t="s">
        <v>407</v>
      </c>
      <c s="302"/>
      <c s="2247"/>
      <c s="2248"/>
      <c s="2248"/>
      <c s="2248"/>
      <c s="2248"/>
      <c s="2248"/>
      <c s="2248"/>
      <c s="2248"/>
      <c s="2248"/>
      <c s="2248"/>
      <c s="2249"/>
      <c s="2247"/>
      <c s="2248"/>
      <c s="2248"/>
      <c s="2248"/>
      <c s="2248"/>
      <c s="2248"/>
      <c s="2248"/>
      <c s="2248"/>
      <c s="2248"/>
      <c s="2248"/>
      <c s="2248"/>
      <c s="2249"/>
      <c s="1309" t="s">
        <v>485</v>
      </c>
      <c r="AU46" s="502"/>
      <c s="502" t="str">
        <f>IF(T46="","",T46)</f>
        <v>Группа потребителей</v>
      </c>
      <c s="502"/>
      <c s="502"/>
      <c s="1157">
        <v>23</v>
      </c>
    </row>
    <row r="47" spans="1:51" ht="24" customHeight="1">
      <c r="A47" s="1365" t="s">
        <v>251</v>
      </c>
      <c s="1365" t="s">
        <v>252</v>
      </c>
      <c s="1365" t="s">
        <v>253</v>
      </c>
      <c s="1365" t="s">
        <v>542</v>
      </c>
      <c s="2261"/>
      <c s="2261"/>
      <c s="2261"/>
      <c s="2261"/>
      <c s="2288"/>
      <c s="2288"/>
      <c s="2258" t="str">
        <f>J46&amp;".1"</f>
        <v>...1.1.1</v>
      </c>
      <c s="1366"/>
      <c r="P47" s="2259"/>
      <c s="2259"/>
      <c s="359">
        <v>1</v>
      </c>
      <c s="1495" t="str">
        <f>$K47</f>
        <v>...1.1.1</v>
      </c>
      <c s="1439"/>
      <c s="302"/>
      <c s="753"/>
      <c s="753"/>
      <c s="753"/>
      <c s="753"/>
      <c s="753"/>
      <c s="753"/>
      <c s="753"/>
      <c s="2269"/>
      <c s="2270" t="s">
        <v>65</v>
      </c>
      <c s="2269"/>
      <c s="2270" t="s">
        <v>65</v>
      </c>
      <c s="753"/>
      <c s="753"/>
      <c s="753"/>
      <c s="753"/>
      <c s="753"/>
      <c s="753"/>
      <c s="753"/>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STRCHECKDATE(V48:AR48)</f>
      </c>
      <c s="502"/>
      <c s="502" t="str">
        <f>IF(T47="","",T47)</f>
        <v/>
      </c>
      <c s="502"/>
      <c s="502"/>
      <c s="1157">
        <v>23</v>
      </c>
    </row>
    <row r="48" spans="1:51" ht="0" customHeight="1">
      <c r="A48" s="1365" t="s">
        <v>251</v>
      </c>
      <c s="1365" t="s">
        <v>252</v>
      </c>
      <c s="1365" t="s">
        <v>253</v>
      </c>
      <c s="1365" t="s">
        <v>542</v>
      </c>
      <c s="2261"/>
      <c s="2261"/>
      <c s="2261"/>
      <c s="2261"/>
      <c s="2288"/>
      <c s="2288"/>
      <c s="2258"/>
      <c s="1366"/>
      <c r="P48" s="2259"/>
      <c s="2259"/>
      <c s="359"/>
      <c s="1492"/>
      <c s="302"/>
      <c s="302"/>
      <c s="1362"/>
      <c s="1362"/>
      <c s="1362"/>
      <c s="1362"/>
      <c s="1362"/>
      <c s="1362"/>
      <c s="1362"/>
      <c s="2270"/>
      <c s="2270"/>
      <c s="2270"/>
      <c s="2270"/>
      <c s="327"/>
      <c s="327"/>
      <c s="327"/>
      <c s="327"/>
      <c s="327"/>
      <c s="327"/>
      <c s="327"/>
      <c s="2268"/>
      <c s="2109"/>
      <c s="2290"/>
      <c s="2109"/>
      <c s="1441"/>
      <c s="2351"/>
      <c r="AU48" s="502"/>
      <c s="502" t="str">
        <f>IF(T48="","",T48)</f>
        <v/>
      </c>
      <c s="502"/>
      <c s="502"/>
      <c s="1157">
        <v>0</v>
      </c>
    </row>
    <row r="49" spans="1:51" ht="21" customHeight="1">
      <c r="A49" s="1365" t="s">
        <v>251</v>
      </c>
      <c s="1365" t="s">
        <v>252</v>
      </c>
      <c s="1365" t="s">
        <v>253</v>
      </c>
      <c s="1365" t="s">
        <v>542</v>
      </c>
      <c s="2261"/>
      <c s="2261"/>
      <c s="2261"/>
      <c s="2261"/>
      <c s="2288"/>
      <c s="2258"/>
      <c s="1365"/>
      <c s="1366"/>
      <c r="P49" s="2259"/>
      <c s="2259"/>
      <c s="358"/>
      <c s="1280"/>
      <c s="289" t="s">
        <v>486</v>
      </c>
      <c s="369"/>
      <c s="369"/>
      <c s="602"/>
      <c s="602"/>
      <c s="602"/>
      <c s="602"/>
      <c s="602"/>
      <c s="602"/>
      <c s="369"/>
      <c s="369"/>
      <c s="369"/>
      <c s="369"/>
      <c s="369"/>
      <c s="602"/>
      <c s="602"/>
      <c s="602"/>
      <c s="602"/>
      <c s="602"/>
      <c s="369"/>
      <c s="369"/>
      <c s="369"/>
      <c s="369"/>
      <c s="369"/>
      <c s="369"/>
      <c s="1260" t="s">
        <v>487</v>
      </c>
      <c r="AU49" s="502"/>
      <c s="502" t="str">
        <f>IF(T49="","",T49)</f>
        <v>Добавить значение признака дифференциации</v>
      </c>
      <c s="502"/>
      <c s="502"/>
      <c s="1157">
        <v>20</v>
      </c>
    </row>
    <row r="50" spans="1:51" ht="22.05" customHeight="1">
      <c r="A50" s="1365" t="s">
        <v>251</v>
      </c>
      <c s="1365" t="s">
        <v>252</v>
      </c>
      <c s="1365" t="s">
        <v>253</v>
      </c>
      <c s="1365" t="s">
        <v>542</v>
      </c>
      <c s="2261"/>
      <c s="2261"/>
      <c s="2261"/>
      <c s="2261"/>
      <c s="2258"/>
      <c s="1365"/>
      <c s="1365"/>
      <c s="1366"/>
      <c r="P50" s="2259"/>
      <c s="1483"/>
      <c s="358"/>
      <c s="1280"/>
      <c s="367" t="s">
        <v>412</v>
      </c>
      <c s="369"/>
      <c s="369"/>
      <c s="602"/>
      <c s="602"/>
      <c s="602"/>
      <c s="602"/>
      <c s="602"/>
      <c s="602"/>
      <c s="369"/>
      <c s="369"/>
      <c s="369"/>
      <c s="368"/>
      <c s="369"/>
      <c s="602"/>
      <c s="602"/>
      <c s="602"/>
      <c s="602"/>
      <c s="602"/>
      <c s="369"/>
      <c s="369"/>
      <c s="369"/>
      <c s="369"/>
      <c s="368"/>
      <c s="369"/>
      <c s="1442"/>
      <c r="AU50" s="502"/>
      <c s="502" t="str">
        <f>IF(T50="","",T50)</f>
        <v>Добавить группу потребителей</v>
      </c>
      <c s="502"/>
      <c s="502"/>
      <c s="1157">
        <v>21</v>
      </c>
    </row>
    <row r="51" spans="1:51" ht="22.05" customHeight="1">
      <c r="A51" s="1365" t="s">
        <v>251</v>
      </c>
      <c s="1365" t="s">
        <v>252</v>
      </c>
      <c s="1365" t="s">
        <v>253</v>
      </c>
      <c s="1365" t="s">
        <v>542</v>
      </c>
      <c s="2261"/>
      <c s="2261"/>
      <c s="2261"/>
      <c s="2260"/>
      <c s="1365"/>
      <c s="1365"/>
      <c s="1365"/>
      <c s="1366"/>
      <c s="1367"/>
      <c s="1367"/>
      <c s="539"/>
      <c s="362"/>
      <c s="377"/>
      <c s="357"/>
      <c s="1280"/>
      <c s="374" t="s">
        <v>488</v>
      </c>
      <c s="369"/>
      <c s="369"/>
      <c s="602"/>
      <c s="602"/>
      <c s="602"/>
      <c s="602"/>
      <c s="602"/>
      <c s="602"/>
      <c s="369"/>
      <c s="369"/>
      <c s="369"/>
      <c s="368"/>
      <c s="369"/>
      <c s="602"/>
      <c s="602"/>
      <c s="602"/>
      <c s="602"/>
      <c s="602"/>
      <c s="369"/>
      <c s="369"/>
      <c s="369"/>
      <c s="369"/>
      <c s="368"/>
      <c s="369"/>
      <c s="305"/>
      <c r="AU51" s="502"/>
      <c s="502" t="str">
        <f>IF(T51="","",T51)</f>
        <v>Добавить наименование признака дифференциации</v>
      </c>
      <c s="502"/>
      <c s="502"/>
      <c s="1157">
        <v>21</v>
      </c>
    </row>
    <row r="52" spans="1:51" s="1644" customFormat="1" ht="0" customHeight="1">
      <c r="A52" s="1345" t="s">
        <v>251</v>
      </c>
      <c s="1345" t="s">
        <v>252</v>
      </c>
      <c s="1316"/>
      <c s="1316"/>
      <c s="2261"/>
      <c s="2260"/>
      <c s="1316"/>
      <c s="1316"/>
      <c s="1316"/>
      <c s="1316"/>
      <c s="1316"/>
      <c s="1496"/>
      <c s="1323"/>
      <c s="1323"/>
      <c r="P52" s="1318"/>
      <c s="1319"/>
      <c s="1318"/>
      <c s="1324"/>
      <c s="1327" t="s">
        <v>415</v>
      </c>
      <c s="1326"/>
      <c s="1326"/>
      <c s="1326"/>
      <c s="1326"/>
      <c s="1326"/>
      <c s="1326"/>
      <c s="1326"/>
      <c s="1326"/>
      <c s="1326"/>
      <c s="1326"/>
      <c s="1326"/>
      <c s="1326"/>
      <c s="1326"/>
      <c s="1326"/>
      <c s="1326"/>
      <c s="1326"/>
      <c s="1326"/>
      <c s="1326"/>
      <c s="1326"/>
      <c s="1326"/>
      <c s="1326"/>
      <c s="1326"/>
      <c s="1326"/>
      <c s="1326"/>
      <c s="1326"/>
      <c r="AU52" s="791"/>
      <c s="791" t="str">
        <f>IF(T52="","",T52)</f>
        <v>Добавить централизованную систему для дифференциации</v>
      </c>
      <c s="791"/>
      <c s="791"/>
      <c s="520">
        <v>0</v>
      </c>
    </row>
    <row r="53" spans="1:51" s="1644" customFormat="1" ht="0" customHeight="1">
      <c r="A53" s="1345" t="s">
        <v>251</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r="AU53" s="502"/>
      <c s="502" t="str">
        <f>IF(T53="","",T53)</f>
        <v>Добавить территорию для дифференциации</v>
      </c>
      <c s="502"/>
      <c s="502"/>
      <c s="513">
        <v>0</v>
      </c>
    </row>
    <row r="54" spans="1:51" s="1644" customFormat="1" ht="0" customHeight="1">
      <c r="A54" s="1316"/>
      <c s="1316"/>
      <c s="1316"/>
      <c s="1316"/>
      <c s="1345"/>
      <c s="1316"/>
      <c s="1316"/>
      <c s="1316"/>
      <c s="1316"/>
      <c s="1316"/>
      <c s="1316"/>
      <c s="1496"/>
      <c s="1323"/>
      <c s="1323"/>
      <c r="P54" s="1318"/>
      <c s="1319"/>
      <c s="1318"/>
      <c s="1324"/>
      <c s="1327" t="s">
        <v>448</v>
      </c>
      <c s="1326"/>
      <c s="1326"/>
      <c s="1326"/>
      <c s="1326"/>
      <c s="1326"/>
      <c s="1326"/>
      <c s="1326"/>
      <c s="1326"/>
      <c s="1326"/>
      <c s="1326"/>
      <c s="1326"/>
      <c s="1326"/>
      <c s="1326"/>
      <c s="1326"/>
      <c s="1326"/>
      <c s="1326"/>
      <c s="1326"/>
      <c s="1326"/>
      <c s="1326"/>
      <c s="1326"/>
      <c s="1326"/>
      <c s="1326"/>
      <c s="1326"/>
      <c s="1326"/>
      <c s="1326"/>
      <c r="AU54" s="791"/>
      <c s="791" t="str">
        <f>IF(T54="","",T54)</f>
        <v>Добавить наименование тарифа</v>
      </c>
      <c s="791"/>
      <c s="791"/>
      <c s="520">
        <v>0</v>
      </c>
    </row>
    <row r="55" spans="13:51" ht="11.55" customHeight="1">
      <c r="M55" s="1162"/>
      <c s="1162"/>
      <c s="539"/>
      <c s="1157"/>
      <c s="1157"/>
      <c s="1157"/>
      <c s="1157"/>
      <c r="AT55" s="1157"/>
      <c s="1157"/>
      <c s="1157"/>
      <c s="1157"/>
      <c s="1157"/>
      <c s="1157">
        <v>11</v>
      </c>
    </row>
    <row r="56" spans="15:51" ht="14.7" customHeight="1">
      <c r="O56" s="539"/>
      <c r="S56" s="1255"/>
      <c s="2287"/>
      <c s="2287"/>
      <c s="2287"/>
      <c s="2287"/>
      <c s="2287"/>
      <c s="2287"/>
      <c s="2287"/>
      <c s="2287"/>
      <c s="2287"/>
      <c s="2287"/>
      <c s="2287"/>
      <c s="2287"/>
      <c s="2287"/>
      <c s="2287"/>
      <c s="2287"/>
      <c s="2287"/>
      <c s="2287"/>
      <c s="2287"/>
      <c s="2287"/>
      <c s="2287"/>
      <c s="2287"/>
      <c s="2287"/>
      <c s="2287"/>
      <c s="2287"/>
      <c s="2287"/>
      <c s="2287"/>
      <c r="AY56" s="1157">
        <v>14</v>
      </c>
    </row>
    <row r="57" spans="15:15 51:51" ht="14.7" customHeight="1">
      <c r="O57" s="539"/>
      <c r="AY57" s="1157">
        <v>14</v>
      </c>
    </row>
    <row r="58" spans="15:51" ht="14.7" customHeight="1">
      <c r="O58" s="539"/>
      <c r="S58" s="1255"/>
      <c s="2287"/>
      <c s="2287"/>
      <c s="2287"/>
      <c s="2287"/>
      <c s="2287"/>
      <c s="2287"/>
      <c s="2287"/>
      <c s="2287"/>
      <c s="2287"/>
      <c s="2287"/>
      <c s="2287"/>
      <c s="2287"/>
      <c s="2287"/>
      <c s="2287"/>
      <c s="2287"/>
      <c s="2287"/>
      <c s="2287"/>
      <c s="2287"/>
      <c s="2287"/>
      <c s="2287"/>
      <c s="2287"/>
      <c s="2287"/>
      <c s="2287"/>
      <c s="2287"/>
      <c s="2287"/>
      <c s="2287"/>
      <c r="AY58" s="1157">
        <v>14</v>
      </c>
    </row>
    <row r="59" spans="1:51" ht="22.5" customHeight="1" hidden="1">
      <c r="A59"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633">
        <v>0</v>
      </c>
      <c s="1633">
        <v>0</v>
      </c>
      <c s="1633">
        <v>0</v>
      </c>
      <c s="1633">
        <v>0</v>
      </c>
      <c s="1633">
        <v>0</v>
      </c>
      <c s="1633">
        <v>0</v>
      </c>
      <c s="1157">
        <v>0</v>
      </c>
      <c s="1157">
        <v>0</v>
      </c>
      <c s="1157">
        <v>0</v>
      </c>
      <c s="1157">
        <v>0</v>
      </c>
      <c s="1157">
        <v>19</v>
      </c>
      <c s="1633">
        <v>19</v>
      </c>
      <c s="1633">
        <v>19</v>
      </c>
      <c s="1633">
        <v>19</v>
      </c>
      <c s="1633">
        <v>19</v>
      </c>
      <c s="1633">
        <v>19</v>
      </c>
      <c s="1157">
        <v>19</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6BC4E7B-ADCC-FA21-EBB7-0.B94D2CA3}"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8" width="19.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19.7142857142857" style="1637" customWidth="1"/>
    <col min="34" max="39" width="19" style="1637" customWidth="1"/>
    <col min="40" max="40" width="11" style="1637" customWidth="1"/>
    <col min="41" max="41" width="3.71428571428571" style="1637" customWidth="1"/>
    <col min="42" max="42" width="11" style="1637" customWidth="1"/>
    <col min="43" max="43" width="8.57142857142857" style="1637" hidden="1" customWidth="1"/>
    <col min="44" max="44" width="4" style="1637" customWidth="1"/>
    <col min="45" max="45" width="115" style="1637" customWidth="1"/>
    <col min="46" max="50" width="10" style="1644" customWidth="1"/>
    <col min="51" max="51" width="10.5714285714286" style="1637" hidden="1"/>
  </cols>
  <sheetData>
    <row r="1" spans="28:51" ht="22.5" customHeight="1" hidden="1">
      <c r="AB1" s="329"/>
      <c s="329"/>
      <c r="AM1" s="329"/>
      <c s="329"/>
      <c r="AY1" s="1157" t="s">
        <v>14</v>
      </c>
    </row>
    <row r="2" spans="1:51" ht="23.25" customHeight="1" hidden="1">
      <c r="A2" s="1365"/>
      <c s="1365"/>
      <c s="1365"/>
      <c s="1365"/>
      <c s="2260">
        <v>1</v>
      </c>
      <c s="1365"/>
      <c s="1365"/>
      <c s="1365"/>
      <c s="1365"/>
      <c s="1365"/>
      <c s="1365"/>
      <c s="1366"/>
      <c s="1367"/>
      <c s="1367"/>
      <c s="1367"/>
      <c s="363"/>
      <c s="362"/>
      <c s="357"/>
      <c s="1495">
        <f>INDEX(PT_DIFFERENTIATION_NUM_NTAR,MATCH(A2,PT_DIFFERENTIATION_NTAR_ID,0))</f>
      </c>
      <c s="300" t="s">
        <v>125</v>
      </c>
      <c s="302"/>
      <c s="2244"/>
      <c s="2245"/>
      <c s="2245"/>
      <c s="2245"/>
      <c s="2245"/>
      <c s="2245"/>
      <c s="2245"/>
      <c s="2245"/>
      <c s="2245"/>
      <c s="2245"/>
      <c s="2246"/>
      <c s="2244">
        <f>INDEX(PT_DIFFERENTIATION_NTAR,MATCH(A2,PT_DIFFERENTIATION_NTAR_ID,0))</f>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s="502" t="str">
        <f>IF(T2="","",T2)</f>
        <v>Наименование тарифа</v>
      </c>
      <c s="502"/>
      <c s="502"/>
      <c s="1157">
        <v>0</v>
      </c>
    </row>
    <row r="3" spans="1:51" ht="23.25" customHeight="1" hidden="1">
      <c r="A3" s="1365"/>
      <c s="1365"/>
      <c s="1365"/>
      <c s="1365"/>
      <c s="2261"/>
      <c s="2260">
        <v>1</v>
      </c>
      <c s="1365"/>
      <c s="1365"/>
      <c s="1365"/>
      <c s="1365"/>
      <c s="1365"/>
      <c s="1366"/>
      <c s="1367"/>
      <c s="1367"/>
      <c s="1367"/>
      <c s="1489"/>
      <c s="354"/>
      <c s="355"/>
      <c s="1495">
        <f>INDEX(PT_DIFFERENTIATION_NUM_TER,MATCH(B3,PT_DIFFERENTIATION_TER_ID,0))</f>
      </c>
      <c s="310" t="s">
        <v>397</v>
      </c>
      <c s="302"/>
      <c s="2244"/>
      <c s="2245"/>
      <c s="2245"/>
      <c s="2245"/>
      <c s="2245"/>
      <c s="2245"/>
      <c s="2245"/>
      <c s="2245"/>
      <c s="2245"/>
      <c s="2245"/>
      <c s="2246"/>
      <c s="2244">
        <f>INDEX(PT_DIFFERENTIATION_TER,MATCH(B3,PT_DIFFERENTIATION_TER_ID,0))</f>
      </c>
      <c s="2245"/>
      <c s="2245"/>
      <c s="2245"/>
      <c s="2245"/>
      <c s="2245"/>
      <c s="2245"/>
      <c s="2245"/>
      <c s="2245"/>
      <c s="2245"/>
      <c s="2245"/>
      <c s="2246"/>
      <c s="1260" t="s">
        <v>398</v>
      </c>
      <c r="AU3" s="502"/>
      <c s="502" t="str">
        <f>IF(T3="","",T3)</f>
        <v>Территория действия тарифа</v>
      </c>
      <c s="502"/>
      <c s="502"/>
      <c s="1157">
        <v>0</v>
      </c>
    </row>
    <row r="4" spans="1:51" ht="23.25" customHeight="1" hidden="1">
      <c r="A4" s="1365"/>
      <c s="1365"/>
      <c s="1365"/>
      <c s="1365"/>
      <c s="2261"/>
      <c s="2261"/>
      <c s="2260">
        <v>1</v>
      </c>
      <c s="1365"/>
      <c s="1365"/>
      <c s="1365"/>
      <c s="1365"/>
      <c s="1366"/>
      <c s="1367"/>
      <c s="1367"/>
      <c s="1367"/>
      <c s="356"/>
      <c s="354"/>
      <c s="355"/>
      <c s="1495">
        <f>INDEX(PT_DIFFERENTIATION_NUM_CS,MATCH(C4,PT_DIFFERENTIATION_CS_ID,0))</f>
      </c>
      <c s="311" t="s">
        <v>530</v>
      </c>
      <c s="302"/>
      <c s="2244"/>
      <c s="2245"/>
      <c s="2245"/>
      <c s="2245"/>
      <c s="2245"/>
      <c s="2245"/>
      <c s="2245"/>
      <c s="2245"/>
      <c s="2245"/>
      <c s="2245"/>
      <c s="2246"/>
      <c s="2244">
        <f>INDEX(PT_DIFFERENTIATION_CS,MATCH(C4,PT_DIFFERENTIATION_CS_ID,0))</f>
      </c>
      <c s="2245"/>
      <c s="2245"/>
      <c s="2245"/>
      <c s="2245"/>
      <c s="2245"/>
      <c s="2245"/>
      <c s="2245"/>
      <c s="2245"/>
      <c s="2245"/>
      <c s="2245"/>
      <c s="2246"/>
      <c s="1260" t="s">
        <v>531</v>
      </c>
      <c r="AU4" s="502"/>
      <c s="502" t="str">
        <f>IF(T4="","",T4)</f>
        <v>Наименование централизованной системы горячего водоснабжения</v>
      </c>
      <c s="502"/>
      <c s="502"/>
      <c s="1157">
        <v>0</v>
      </c>
    </row>
    <row r="5" spans="1:51" ht="23.25" customHeight="1" hidden="1">
      <c r="A5" s="1365"/>
      <c s="1365"/>
      <c s="1365"/>
      <c s="1365"/>
      <c s="2261"/>
      <c s="2261"/>
      <c s="2261"/>
      <c s="2261"/>
      <c s="2258">
        <f>S4&amp;".1"</f>
      </c>
      <c s="1365"/>
      <c s="1365"/>
      <c s="1366"/>
      <c r="P5" s="2259">
        <v>1</v>
      </c>
      <c s="1483"/>
      <c s="358"/>
      <c s="1495">
        <f>$I5</f>
      </c>
      <c s="287" t="s">
        <v>483</v>
      </c>
      <c s="302"/>
      <c s="2352"/>
      <c s="2353"/>
      <c s="2353"/>
      <c s="2353"/>
      <c s="2353"/>
      <c s="2353"/>
      <c s="2353"/>
      <c s="2353"/>
      <c s="2353"/>
      <c s="2353"/>
      <c s="2354"/>
      <c s="2355"/>
      <c s="2356"/>
      <c s="2356"/>
      <c s="2356"/>
      <c s="2356"/>
      <c s="2356"/>
      <c s="2356"/>
      <c s="2356"/>
      <c s="2356"/>
      <c s="2356"/>
      <c s="2356"/>
      <c s="2357"/>
      <c s="1260" t="s">
        <v>484</v>
      </c>
      <c r="AU5" s="502"/>
      <c s="502" t="str">
        <f>IF(T5="","",T5)</f>
        <v>Наименование признака дифференциации</v>
      </c>
      <c s="502"/>
      <c s="502"/>
      <c s="1157">
        <v>0</v>
      </c>
    </row>
    <row r="6" spans="1:51" ht="23.25" customHeight="1" hidden="1">
      <c r="A6" s="1365"/>
      <c s="1365"/>
      <c s="1365"/>
      <c s="1365"/>
      <c s="2261"/>
      <c s="2261"/>
      <c s="2261"/>
      <c s="2261"/>
      <c s="2288"/>
      <c s="2258">
        <f>I5&amp;".1"</f>
      </c>
      <c s="1365"/>
      <c s="1366" t="s">
        <v>406</v>
      </c>
      <c r="P6" s="2259"/>
      <c s="2259">
        <v>1</v>
      </c>
      <c s="359"/>
      <c s="1495">
        <f>$J6</f>
      </c>
      <c s="288" t="s">
        <v>407</v>
      </c>
      <c s="302"/>
      <c s="2247"/>
      <c s="2248"/>
      <c s="2248"/>
      <c s="2248"/>
      <c s="2248"/>
      <c s="2248"/>
      <c s="2248"/>
      <c s="2248"/>
      <c s="2248"/>
      <c s="2248"/>
      <c s="2249"/>
      <c s="2247"/>
      <c s="2248"/>
      <c s="2248"/>
      <c s="2248"/>
      <c s="2248"/>
      <c s="2248"/>
      <c s="2248"/>
      <c s="2248"/>
      <c s="2248"/>
      <c s="2248"/>
      <c s="2248"/>
      <c s="2249"/>
      <c s="1309" t="s">
        <v>485</v>
      </c>
      <c r="AU6" s="502"/>
      <c s="502" t="str">
        <f>IF(T6="","",T6)</f>
        <v>Группа потребителей</v>
      </c>
      <c s="502"/>
      <c s="502"/>
      <c s="1157">
        <v>0</v>
      </c>
    </row>
    <row r="7" spans="1:51" ht="23.25" customHeight="1" hidden="1">
      <c r="A7" s="1365"/>
      <c s="1365"/>
      <c s="1365"/>
      <c s="1365"/>
      <c s="2261"/>
      <c s="2261"/>
      <c s="2261"/>
      <c s="2261"/>
      <c s="2288"/>
      <c s="2288"/>
      <c s="2258">
        <f>J6&amp;".1"</f>
      </c>
      <c s="1366"/>
      <c r="P7" s="2259"/>
      <c s="2259"/>
      <c s="359">
        <v>1</v>
      </c>
      <c s="1495">
        <f>$K7</f>
      </c>
      <c s="1439"/>
      <c s="302"/>
      <c s="753"/>
      <c s="753"/>
      <c s="753"/>
      <c s="753"/>
      <c s="753"/>
      <c s="753"/>
      <c s="1259"/>
      <c s="2267"/>
      <c s="2109" t="s">
        <v>65</v>
      </c>
      <c s="2267"/>
      <c s="2109" t="s">
        <v>65</v>
      </c>
      <c s="753"/>
      <c s="753"/>
      <c s="753"/>
      <c s="753"/>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STRCHECKDATE(V8:AR8)</f>
      </c>
      <c s="502"/>
      <c s="502" t="str">
        <f>IF(T7="","",T7)</f>
        <v/>
      </c>
      <c s="502"/>
      <c s="502"/>
      <c s="1157">
        <v>0</v>
      </c>
    </row>
    <row r="8" spans="1:51" ht="14.25" customHeight="1" hidden="1">
      <c r="A8" s="1365"/>
      <c s="1365"/>
      <c s="1365"/>
      <c s="1365"/>
      <c s="2261"/>
      <c s="2261"/>
      <c s="2261"/>
      <c s="2261"/>
      <c s="2288"/>
      <c s="2288"/>
      <c s="2258"/>
      <c s="1366"/>
      <c r="P8" s="2259"/>
      <c s="2259"/>
      <c s="359"/>
      <c s="1492"/>
      <c s="302"/>
      <c s="302"/>
      <c s="327"/>
      <c s="327"/>
      <c s="327"/>
      <c s="327"/>
      <c s="327"/>
      <c s="327"/>
      <c s="330" t="str">
        <f>AC7&amp;"-"&amp;AE7</f>
        <v>-</v>
      </c>
      <c s="2268"/>
      <c s="2109"/>
      <c s="2268"/>
      <c s="2109"/>
      <c s="327"/>
      <c s="327"/>
      <c s="327"/>
      <c s="327"/>
      <c s="327"/>
      <c s="327"/>
      <c s="330" t="str">
        <f>AN7&amp;"-"&amp;AP7</f>
        <v>-</v>
      </c>
      <c s="2268"/>
      <c s="2109"/>
      <c s="2290"/>
      <c s="2109"/>
      <c s="1441"/>
      <c s="2351"/>
      <c r="AU8" s="502"/>
      <c s="502" t="str">
        <f>IF(T8="","",T8)</f>
        <v/>
      </c>
      <c s="502"/>
      <c s="502"/>
      <c s="1157">
        <v>0</v>
      </c>
    </row>
    <row r="9" spans="1:51" ht="21" customHeight="1" hidden="1">
      <c r="A9" s="1365"/>
      <c s="1365"/>
      <c s="1365"/>
      <c s="1365"/>
      <c s="2261"/>
      <c s="2261"/>
      <c s="2261"/>
      <c s="2261"/>
      <c s="2288"/>
      <c s="2258"/>
      <c s="1365"/>
      <c s="1366"/>
      <c r="P9" s="2259"/>
      <c s="2259"/>
      <c s="358"/>
      <c s="1280"/>
      <c s="289" t="s">
        <v>486</v>
      </c>
      <c s="369"/>
      <c s="369"/>
      <c s="602"/>
      <c s="602"/>
      <c s="602"/>
      <c s="602"/>
      <c s="602"/>
      <c s="369"/>
      <c s="369"/>
      <c s="369"/>
      <c s="369"/>
      <c s="369"/>
      <c s="369"/>
      <c s="602"/>
      <c s="602"/>
      <c s="602"/>
      <c s="602"/>
      <c s="602"/>
      <c s="369"/>
      <c s="369"/>
      <c s="369"/>
      <c s="369"/>
      <c s="369"/>
      <c s="369"/>
      <c s="1260" t="s">
        <v>487</v>
      </c>
      <c r="AU9" s="502"/>
      <c s="502" t="str">
        <f>IF(T9="","",T9)</f>
        <v>Добавить значение признака дифференциации</v>
      </c>
      <c s="502"/>
      <c s="502"/>
      <c s="1157">
        <v>0</v>
      </c>
    </row>
    <row r="10" spans="1:51" ht="21" customHeight="1" hidden="1">
      <c r="A10" s="1365"/>
      <c s="1365"/>
      <c s="1365"/>
      <c s="1365"/>
      <c s="2261"/>
      <c s="2261"/>
      <c s="2261"/>
      <c s="2261"/>
      <c s="2258"/>
      <c s="1365"/>
      <c s="1365"/>
      <c s="1366"/>
      <c r="P10" s="2259"/>
      <c s="1483"/>
      <c s="358"/>
      <c s="1280"/>
      <c s="367" t="s">
        <v>412</v>
      </c>
      <c s="369"/>
      <c s="369"/>
      <c s="602"/>
      <c s="602"/>
      <c s="602"/>
      <c s="602"/>
      <c s="602"/>
      <c s="369"/>
      <c s="369"/>
      <c s="369"/>
      <c s="369"/>
      <c s="368"/>
      <c s="369"/>
      <c s="602"/>
      <c s="602"/>
      <c s="602"/>
      <c s="602"/>
      <c s="602"/>
      <c s="369"/>
      <c s="369"/>
      <c s="369"/>
      <c s="369"/>
      <c s="368"/>
      <c s="369"/>
      <c s="1442"/>
      <c r="AU10" s="502"/>
      <c s="502" t="str">
        <f>IF(T10="","",T10)</f>
        <v>Добавить группу потребителей</v>
      </c>
      <c s="502"/>
      <c s="502"/>
      <c s="1157">
        <v>0</v>
      </c>
    </row>
    <row r="11" spans="1:51" ht="21" customHeight="1" hidden="1">
      <c r="A11" s="1365"/>
      <c s="1365"/>
      <c s="1365"/>
      <c s="1365"/>
      <c s="2261"/>
      <c s="2261"/>
      <c s="2261"/>
      <c s="2260"/>
      <c s="1365"/>
      <c s="1365"/>
      <c s="1365"/>
      <c s="1366"/>
      <c s="1367"/>
      <c s="1367"/>
      <c s="539"/>
      <c s="362"/>
      <c s="377"/>
      <c s="357"/>
      <c s="1280"/>
      <c s="374" t="s">
        <v>488</v>
      </c>
      <c s="369"/>
      <c s="369"/>
      <c s="602"/>
      <c s="602"/>
      <c s="602"/>
      <c s="602"/>
      <c s="602"/>
      <c s="369"/>
      <c s="369"/>
      <c s="369"/>
      <c s="369"/>
      <c s="368"/>
      <c s="369"/>
      <c s="602"/>
      <c s="602"/>
      <c s="602"/>
      <c s="602"/>
      <c s="602"/>
      <c s="369"/>
      <c s="369"/>
      <c s="369"/>
      <c s="369"/>
      <c s="368"/>
      <c s="369"/>
      <c s="305"/>
      <c r="AU11" s="502"/>
      <c s="502" t="str">
        <f>IF(T11="","",T11)</f>
        <v>Добавить наименование признака дифференциации</v>
      </c>
      <c s="502"/>
      <c s="502"/>
      <c s="1157">
        <v>0</v>
      </c>
    </row>
    <row r="12" spans="1:51" s="1644" customFormat="1" ht="14.25" customHeight="1" hidden="1">
      <c r="A12" s="1345"/>
      <c s="1345"/>
      <c s="1316"/>
      <c s="1316"/>
      <c s="2261"/>
      <c s="2260"/>
      <c s="1316"/>
      <c s="1316"/>
      <c s="1316"/>
      <c s="1316"/>
      <c s="1316"/>
      <c s="1496"/>
      <c s="1323"/>
      <c s="1323"/>
      <c r="P12" s="1318"/>
      <c s="1319"/>
      <c s="1318"/>
      <c s="1324"/>
      <c s="1327" t="s">
        <v>415</v>
      </c>
      <c s="1326"/>
      <c s="1326"/>
      <c s="1326"/>
      <c s="1326"/>
      <c s="1326"/>
      <c s="1326"/>
      <c s="1326"/>
      <c s="1326"/>
      <c s="1326"/>
      <c s="1326"/>
      <c s="1326"/>
      <c s="1326"/>
      <c s="1326"/>
      <c s="1326"/>
      <c s="1326"/>
      <c s="1326"/>
      <c s="1326"/>
      <c s="1326"/>
      <c s="1326"/>
      <c s="1326"/>
      <c s="1326"/>
      <c s="1326"/>
      <c s="1326"/>
      <c s="1326"/>
      <c s="1326"/>
      <c r="AU12" s="791"/>
      <c s="791" t="str">
        <f>IF(T12="","",T12)</f>
        <v>Добавить централизованную систему для дифференциации</v>
      </c>
      <c s="791"/>
      <c s="791"/>
      <c s="520">
        <v>0</v>
      </c>
    </row>
    <row r="13" spans="1:51" s="1644" customFormat="1" ht="14.25" customHeight="1" hidden="1">
      <c r="A13"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r="AU13" s="502"/>
      <c s="502" t="str">
        <f>IF(T13="","",T13)</f>
        <v>Добавить территорию для дифференциации</v>
      </c>
      <c s="502"/>
      <c s="502"/>
      <c s="513">
        <v>0</v>
      </c>
    </row>
    <row r="14" spans="32:51" ht="14.25" customHeight="1" hidden="1">
      <c r="AF14" s="329"/>
      <c r="AQ14" s="329"/>
      <c r="AY14" s="1157">
        <v>0</v>
      </c>
    </row>
    <row r="15" spans="33:51" ht="14.25" customHeight="1" hidden="1">
      <c r="AG15" s="1362"/>
      <c s="1362"/>
      <c s="1362"/>
      <c s="1362"/>
      <c s="1362"/>
      <c s="1362"/>
      <c s="1363"/>
      <c s="2269"/>
      <c s="2270" t="s">
        <v>65</v>
      </c>
      <c s="2269"/>
      <c s="2270" t="s">
        <v>65</v>
      </c>
      <c r="AY15" s="1157">
        <v>0</v>
      </c>
    </row>
    <row r="16" spans="33:51" ht="14.25" customHeight="1" hidden="1">
      <c r="AG16" s="1362"/>
      <c s="1362"/>
      <c s="1362"/>
      <c s="1362"/>
      <c s="1362"/>
      <c s="1362"/>
      <c s="330" t="str">
        <f>AN15&amp;"-"&amp;AP15</f>
        <v>-</v>
      </c>
      <c s="2270"/>
      <c s="2270"/>
      <c s="2270"/>
      <c s="2270"/>
      <c r="AY16" s="1157">
        <v>0</v>
      </c>
    </row>
    <row r="17" spans="43:51" ht="14.25" customHeight="1" hidden="1">
      <c r="AQ17" s="329"/>
      <c r="AY17" s="1157">
        <v>0</v>
      </c>
    </row>
    <row r="18" spans="12:51" s="1368" customFormat="1" ht="22.5" customHeight="1" hidden="1">
      <c r="L18" s="1480"/>
      <c s="1364"/>
      <c s="1364"/>
      <c s="1369" t="s">
        <v>417</v>
      </c>
      <c s="1364"/>
      <c s="1373"/>
      <c s="1373"/>
      <c s="731"/>
      <c r="W18" s="1368"/>
      <c s="1368"/>
      <c s="1368"/>
      <c s="1368"/>
      <c s="1368"/>
      <c r="AC18" s="1369"/>
      <c r="AE18" s="1369"/>
      <c s="1368"/>
      <c r="AH18" s="1368"/>
      <c s="1368"/>
      <c s="1368"/>
      <c s="1368"/>
      <c s="1368"/>
      <c r="AN18" s="1369"/>
      <c r="AP18" s="1369"/>
      <c s="1368"/>
      <c r="AT18" s="513"/>
      <c s="513"/>
      <c s="513"/>
      <c s="513"/>
      <c s="513"/>
      <c s="1162">
        <v>0</v>
      </c>
    </row>
    <row r="19" spans="12:51" s="1368" customFormat="1" ht="14.25" customHeight="1" hidden="1">
      <c r="L19" s="1480"/>
      <c s="1364"/>
      <c s="1364"/>
      <c s="1364"/>
      <c s="1364"/>
      <c s="1373"/>
      <c s="1373"/>
      <c s="731"/>
      <c r="W19" s="1368"/>
      <c s="1368"/>
      <c s="1368"/>
      <c s="1368"/>
      <c s="1368"/>
      <c r="AF19" s="1368"/>
      <c r="AH19" s="1368"/>
      <c s="1368"/>
      <c s="1368"/>
      <c s="1368"/>
      <c s="1368"/>
      <c r="AQ19" s="1368"/>
      <c r="AT19" s="513"/>
      <c s="513"/>
      <c s="513"/>
      <c s="513"/>
      <c s="513"/>
      <c s="1162">
        <v>0</v>
      </c>
    </row>
    <row r="20" spans="12:51" s="1368" customFormat="1" ht="12" customHeight="1" hidden="1">
      <c r="L20" s="1480"/>
      <c s="1364"/>
      <c s="1364"/>
      <c s="1366" t="s">
        <v>418</v>
      </c>
      <c s="1364"/>
      <c s="1444"/>
      <c s="1444"/>
      <c s="731"/>
      <c s="1162" t="s">
        <v>419</v>
      </c>
      <c r="W20" s="1368"/>
      <c s="1368"/>
      <c s="1368"/>
      <c s="1368"/>
      <c s="1368"/>
      <c r="AD20" s="188" t="s">
        <v>420</v>
      </c>
      <c r="AF20" s="188" t="s">
        <v>421</v>
      </c>
      <c s="1162" t="s">
        <v>419</v>
      </c>
      <c s="1368"/>
      <c s="1368"/>
      <c s="1368"/>
      <c s="1368"/>
      <c s="1368"/>
      <c r="AO20" s="188" t="s">
        <v>422</v>
      </c>
      <c r="AQ20" s="188" t="s">
        <v>421</v>
      </c>
      <c r="AY20" s="1162">
        <v>0</v>
      </c>
    </row>
    <row r="21" spans="15:15 51:51" ht="14.25" customHeight="1" hidden="1">
      <c r="O21" s="1366"/>
      <c r="AY21" s="1157">
        <v>0</v>
      </c>
    </row>
    <row r="22" spans="15:15 51:51" ht="14.25" customHeight="1" hidden="1">
      <c r="O22" s="1366"/>
      <c r="AY22" s="1157">
        <v>0</v>
      </c>
    </row>
    <row r="23" spans="17:51" ht="14.7" customHeight="1">
      <c r="Q23" s="378"/>
      <c s="378"/>
      <c s="1277"/>
      <c s="365"/>
      <c s="365"/>
      <c s="511"/>
      <c s="1637"/>
      <c s="1637"/>
      <c s="1637"/>
      <c s="1637"/>
      <c s="1637"/>
      <c s="511"/>
      <c s="511"/>
      <c s="511"/>
      <c s="511"/>
      <c s="511"/>
      <c s="511"/>
      <c s="1637"/>
      <c s="1637"/>
      <c s="1637"/>
      <c s="1637"/>
      <c s="1637"/>
      <c s="511"/>
      <c s="511"/>
      <c s="511"/>
      <c s="511"/>
      <c s="511"/>
      <c r="AY23" s="1157">
        <v>14</v>
      </c>
    </row>
    <row r="24" spans="17:51" ht="26.25" customHeight="1">
      <c r="Q24" s="378"/>
      <c s="378"/>
      <c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0"/>
      <c s="2250"/>
      <c s="2250"/>
      <c s="2250"/>
      <c s="2250"/>
      <c s="2250"/>
      <c s="2250"/>
      <c s="2250"/>
      <c s="2250"/>
      <c s="2250"/>
      <c s="2250"/>
      <c s="2250"/>
      <c s="2250"/>
      <c s="2250"/>
      <c s="2250"/>
      <c s="2250"/>
      <c s="2250"/>
      <c s="2250"/>
      <c s="2250"/>
      <c s="2250"/>
      <c s="2250"/>
      <c s="2250"/>
      <c s="2250"/>
      <c s="1245"/>
      <c r="AY24" s="1157">
        <v>25</v>
      </c>
    </row>
    <row r="25" spans="17:51" ht="14.7" customHeight="1">
      <c r="Q25" s="378"/>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1245"/>
      <c r="AY25" s="1157">
        <v>14</v>
      </c>
    </row>
    <row r="26" spans="17:51" ht="14.25" customHeight="1" hidden="1">
      <c r="Q26" s="378"/>
      <c s="378"/>
      <c s="1277"/>
      <c s="365"/>
      <c s="365"/>
      <c s="324"/>
      <c s="324"/>
      <c s="324"/>
      <c s="324"/>
      <c s="324"/>
      <c s="324"/>
      <c s="324"/>
      <c s="324"/>
      <c s="324"/>
      <c s="324"/>
      <c s="324"/>
      <c s="324"/>
      <c s="324"/>
      <c s="324"/>
      <c s="324"/>
      <c s="324"/>
      <c s="324"/>
      <c s="324"/>
      <c s="324"/>
      <c s="324"/>
      <c s="324"/>
      <c s="324"/>
      <c s="511"/>
      <c r="AY26" s="1157">
        <v>0</v>
      </c>
    </row>
    <row r="27" spans="1:51"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2253"/>
      <c s="2253"/>
      <c s="2253"/>
      <c s="2253"/>
      <c s="328"/>
      <c s="2253" t="str">
        <f>IF(TITLE_NAME_OR_PR_CHANGE="",IF(TITLE_NAME_OR_PR="","",TITLE_NAME_OR_PR),TITLE_NAME_OR_PR_CHANGE)</f>
        <v/>
      </c>
      <c s="2253"/>
      <c s="2253"/>
      <c s="2253"/>
      <c s="2253"/>
      <c s="2253"/>
      <c s="2253"/>
      <c s="2253"/>
      <c s="2253"/>
      <c s="2253"/>
      <c s="328"/>
      <c s="328"/>
      <c s="282"/>
      <c s="370"/>
      <c s="370"/>
      <c s="370"/>
      <c s="370"/>
      <c s="370"/>
      <c s="420">
        <v>0</v>
      </c>
    </row>
    <row r="28" spans="1:51" s="1855" customFormat="1" ht="18.75" customHeight="1" hidden="1">
      <c r="A28" s="1370"/>
      <c s="1370"/>
      <c s="1370"/>
      <c s="1370"/>
      <c s="1370"/>
      <c s="1370"/>
      <c s="1370"/>
      <c s="1370"/>
      <c s="1370"/>
      <c s="1370"/>
      <c s="1370"/>
      <c s="1371"/>
      <c s="1370"/>
      <c s="1370"/>
      <c s="1370"/>
      <c r="S28" s="2252" t="s">
        <v>423</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29" spans="1:51" s="1855" customFormat="1" ht="18.75" customHeight="1" hidden="1">
      <c r="A29" s="1370"/>
      <c s="1370"/>
      <c s="1370"/>
      <c s="1370"/>
      <c s="1370"/>
      <c s="1370"/>
      <c s="1370"/>
      <c s="1370"/>
      <c s="1370"/>
      <c s="1370"/>
      <c s="1370"/>
      <c s="1371"/>
      <c s="1370"/>
      <c s="1370"/>
      <c s="1370"/>
      <c r="S29" s="2252" t="s">
        <v>424</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0" spans="1:51"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2253"/>
      <c s="2253"/>
      <c s="2253"/>
      <c s="2253"/>
      <c s="328"/>
      <c s="2253" t="str">
        <f>IF(TITLE_IST_PUB_CHANGE="",IF(TITLE_IST_PUB="","",TITLE_IST_PUB),TITLE_IST_PUB_CHANGE)</f>
        <v/>
      </c>
      <c s="2253"/>
      <c s="2253"/>
      <c s="2253"/>
      <c s="2253"/>
      <c s="2253"/>
      <c s="2253"/>
      <c s="2253"/>
      <c s="2253"/>
      <c s="2253"/>
      <c s="328"/>
      <c s="328"/>
      <c s="282"/>
      <c s="370"/>
      <c s="370"/>
      <c s="370"/>
      <c s="370"/>
      <c s="370"/>
      <c s="420">
        <v>0</v>
      </c>
    </row>
    <row r="31" spans="17:51" ht="14.25" customHeight="1" hidden="1">
      <c r="Q31" s="378"/>
      <c s="378"/>
      <c s="1277"/>
      <c s="365"/>
      <c s="365"/>
      <c s="324"/>
      <c s="324"/>
      <c s="324"/>
      <c s="324"/>
      <c s="324"/>
      <c s="324"/>
      <c s="324"/>
      <c s="324"/>
      <c s="324"/>
      <c s="324"/>
      <c s="324"/>
      <c s="324"/>
      <c s="324"/>
      <c s="324"/>
      <c s="324"/>
      <c s="324"/>
      <c s="324"/>
      <c s="324"/>
      <c s="324"/>
      <c s="324"/>
      <c s="324"/>
      <c s="324"/>
      <c s="511"/>
      <c r="AY31" s="1157">
        <v>0</v>
      </c>
    </row>
    <row r="32" spans="1:51" s="1855" customFormat="1" ht="18.75" customHeight="1" hidden="1">
      <c r="A32" s="1370"/>
      <c s="1370"/>
      <c s="1370"/>
      <c s="1370"/>
      <c s="1370"/>
      <c s="1370"/>
      <c s="1370"/>
      <c s="1370"/>
      <c s="1370"/>
      <c s="1370"/>
      <c s="1370"/>
      <c s="1371"/>
      <c s="1370"/>
      <c s="1370"/>
      <c s="1370"/>
      <c r="S32" s="2252" t="s">
        <v>425</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33" spans="1:51" s="1855" customFormat="1" ht="18.75" customHeight="1" hidden="1">
      <c r="A33" s="1370"/>
      <c s="1370"/>
      <c s="1370"/>
      <c s="1370"/>
      <c s="1370"/>
      <c s="1370"/>
      <c s="1370"/>
      <c s="1370"/>
      <c s="1370"/>
      <c s="1370"/>
      <c s="1370"/>
      <c s="1371"/>
      <c s="1370"/>
      <c s="1370"/>
      <c s="1370"/>
      <c r="S33" s="2252" t="s">
        <v>426</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4" spans="1:51" s="1855" customFormat="1" ht="1.05" customHeight="1">
      <c r="A34" s="1370"/>
      <c s="1370"/>
      <c s="1370"/>
      <c s="1370"/>
      <c s="1370"/>
      <c s="1370"/>
      <c s="1370"/>
      <c s="1370"/>
      <c s="1370"/>
      <c s="1370"/>
      <c s="1370"/>
      <c s="1371"/>
      <c s="1370"/>
      <c s="1370"/>
      <c s="1370"/>
      <c r="S34" s="325"/>
      <c s="325"/>
      <c s="1490"/>
      <c s="328"/>
      <c s="1637"/>
      <c s="1637"/>
      <c s="1637"/>
      <c s="1637"/>
      <c s="1637"/>
      <c s="328"/>
      <c s="328"/>
      <c s="328"/>
      <c s="328"/>
      <c s="280" t="s">
        <v>427</v>
      </c>
      <c s="328"/>
      <c s="1637"/>
      <c s="1637"/>
      <c s="1637"/>
      <c s="1637"/>
      <c s="1637"/>
      <c s="328"/>
      <c s="328"/>
      <c s="328"/>
      <c s="328"/>
      <c s="280" t="s">
        <v>427</v>
      </c>
      <c r="AT34" s="370"/>
      <c s="370"/>
      <c s="370"/>
      <c s="370"/>
      <c s="370"/>
      <c s="420">
        <v>1</v>
      </c>
    </row>
    <row r="35" spans="17:51" ht="14.7" customHeight="1">
      <c r="Q35" s="378"/>
      <c s="378"/>
      <c s="1277"/>
      <c s="365"/>
      <c s="1246"/>
      <c s="2254"/>
      <c s="2254"/>
      <c s="2254"/>
      <c s="2254"/>
      <c s="2254"/>
      <c s="2254"/>
      <c s="2254"/>
      <c s="2254"/>
      <c s="2254"/>
      <c s="2254"/>
      <c s="2254"/>
      <c s="2254"/>
      <c s="2254"/>
      <c s="2254"/>
      <c s="2254"/>
      <c s="2254"/>
      <c s="2254"/>
      <c s="2254"/>
      <c s="2254"/>
      <c s="2254"/>
      <c s="2254"/>
      <c s="2254"/>
      <c r="AY35" s="1157">
        <v>14</v>
      </c>
    </row>
    <row r="36" spans="17:51" ht="14.7" customHeight="1">
      <c r="Q36" s="378"/>
      <c s="378"/>
      <c s="2129" t="s">
        <v>300</v>
      </c>
      <c s="2129"/>
      <c s="2129"/>
      <c s="2129"/>
      <c s="2129"/>
      <c s="2129"/>
      <c s="2129"/>
      <c s="2129"/>
      <c s="2129"/>
      <c s="2129"/>
      <c s="2129"/>
      <c s="2129"/>
      <c s="2129"/>
      <c s="2129"/>
      <c s="2129"/>
      <c s="2129"/>
      <c s="2129"/>
      <c s="2129"/>
      <c s="2129"/>
      <c s="2129"/>
      <c s="2129"/>
      <c s="2129"/>
      <c s="2129"/>
      <c s="2129"/>
      <c s="2129"/>
      <c s="2129"/>
      <c s="2129" t="s">
        <v>301</v>
      </c>
      <c r="AY36" s="1157">
        <v>14</v>
      </c>
    </row>
    <row r="37" spans="17:51" ht="14.7" customHeight="1">
      <c r="Q37" s="378"/>
      <c s="378"/>
      <c s="2275" t="s">
        <v>87</v>
      </c>
      <c s="2211" t="s">
        <v>428</v>
      </c>
      <c s="303"/>
      <c s="2276" t="s">
        <v>429</v>
      </c>
      <c s="2277"/>
      <c s="2277"/>
      <c s="2277"/>
      <c s="2277"/>
      <c s="2277"/>
      <c s="2277"/>
      <c s="2277"/>
      <c s="2277"/>
      <c s="2278"/>
      <c s="2279" t="s">
        <v>430</v>
      </c>
      <c s="2276" t="s">
        <v>429</v>
      </c>
      <c s="2277"/>
      <c s="2277"/>
      <c s="2277"/>
      <c s="2277"/>
      <c s="2277"/>
      <c s="2277"/>
      <c s="2277"/>
      <c s="2277"/>
      <c s="2278"/>
      <c s="2279" t="s">
        <v>431</v>
      </c>
      <c s="2282" t="s">
        <v>432</v>
      </c>
      <c s="2129"/>
      <c r="AY37" s="1157">
        <v>14</v>
      </c>
    </row>
    <row r="38" spans="1:51" s="1637" customFormat="1" ht="19.95" customHeight="1">
      <c r="A38" s="1368"/>
      <c s="1368"/>
      <c s="1368"/>
      <c s="1368"/>
      <c s="1368"/>
      <c s="1368"/>
      <c s="1368"/>
      <c s="1368"/>
      <c s="1368"/>
      <c s="1368"/>
      <c s="1368"/>
      <c s="1982"/>
      <c s="1364"/>
      <c s="1364"/>
      <c s="1364"/>
      <c s="1983"/>
      <c s="378"/>
      <c s="378"/>
      <c s="2275"/>
      <c s="2211"/>
      <c s="1033"/>
      <c s="2368" t="s">
        <v>532</v>
      </c>
      <c s="2367" t="s">
        <v>533</v>
      </c>
      <c s="2367"/>
      <c s="2367"/>
      <c s="2367" t="s">
        <v>534</v>
      </c>
      <c s="2367"/>
      <c s="2367"/>
      <c s="2296" t="s">
        <v>436</v>
      </c>
      <c s="2315"/>
      <c s="2316"/>
      <c s="2280"/>
      <c s="2368" t="s">
        <v>532</v>
      </c>
      <c s="2367" t="s">
        <v>533</v>
      </c>
      <c s="2367"/>
      <c s="2367"/>
      <c s="2367" t="s">
        <v>534</v>
      </c>
      <c s="2367"/>
      <c s="2367"/>
      <c s="2296" t="s">
        <v>436</v>
      </c>
      <c s="2315"/>
      <c s="2316"/>
      <c s="2280"/>
      <c s="2283"/>
      <c s="2129"/>
      <c s="1638"/>
      <c s="1638"/>
      <c s="1638"/>
      <c s="1638"/>
      <c s="1638"/>
      <c s="1633">
        <v>19</v>
      </c>
    </row>
    <row r="39" spans="17:51" ht="19.95" customHeight="1">
      <c r="Q39" s="378"/>
      <c s="378"/>
      <c s="2275"/>
      <c s="2211"/>
      <c s="1033"/>
      <c s="2368"/>
      <c s="2367" t="s">
        <v>535</v>
      </c>
      <c s="2367" t="s">
        <v>536</v>
      </c>
      <c s="2367"/>
      <c s="2367" t="s">
        <v>537</v>
      </c>
      <c s="2367" t="s">
        <v>536</v>
      </c>
      <c s="2367"/>
      <c s="2297"/>
      <c s="2317"/>
      <c s="2318"/>
      <c s="2280"/>
      <c s="2368"/>
      <c s="2367" t="s">
        <v>535</v>
      </c>
      <c s="2367" t="s">
        <v>536</v>
      </c>
      <c s="2367"/>
      <c s="2367" t="s">
        <v>537</v>
      </c>
      <c s="2367" t="s">
        <v>536</v>
      </c>
      <c s="2367"/>
      <c s="2297"/>
      <c s="2317"/>
      <c s="2318"/>
      <c s="2280"/>
      <c s="2283"/>
      <c s="2129"/>
      <c r="AY39" s="1157">
        <v>19</v>
      </c>
    </row>
    <row r="40" spans="1:51" ht="61.95" customHeight="1">
      <c r="A40" s="1372"/>
      <c s="1372" t="s">
        <v>137</v>
      </c>
      <c s="1372" t="s">
        <v>138</v>
      </c>
      <c s="1372" t="s">
        <v>139</v>
      </c>
      <c s="1366" t="s">
        <v>437</v>
      </c>
      <c s="1366" t="s">
        <v>438</v>
      </c>
      <c s="1366" t="s">
        <v>439</v>
      </c>
      <c s="1366"/>
      <c s="1366" t="s">
        <v>490</v>
      </c>
      <c s="1366" t="s">
        <v>442</v>
      </c>
      <c s="1366" t="s">
        <v>491</v>
      </c>
      <c s="1366" t="s">
        <v>418</v>
      </c>
      <c r="Q40" s="378"/>
      <c s="378"/>
      <c s="2275"/>
      <c s="2211"/>
      <c s="304"/>
      <c s="2368"/>
      <c s="2367"/>
      <c s="1985" t="s">
        <v>538</v>
      </c>
      <c s="1985" t="s">
        <v>539</v>
      </c>
      <c s="2367"/>
      <c s="1985" t="s">
        <v>540</v>
      </c>
      <c s="1985" t="s">
        <v>541</v>
      </c>
      <c s="1491" t="s">
        <v>446</v>
      </c>
      <c s="2272" t="s">
        <v>447</v>
      </c>
      <c s="2273"/>
      <c s="2281"/>
      <c s="2368"/>
      <c s="2367"/>
      <c s="1985" t="s">
        <v>538</v>
      </c>
      <c s="1985" t="s">
        <v>539</v>
      </c>
      <c s="2367"/>
      <c s="1985" t="s">
        <v>540</v>
      </c>
      <c s="1985" t="s">
        <v>541</v>
      </c>
      <c s="1491" t="s">
        <v>446</v>
      </c>
      <c s="2272" t="s">
        <v>447</v>
      </c>
      <c s="2273"/>
      <c s="2281"/>
      <c s="2284"/>
      <c s="2129"/>
      <c r="AY40" s="1157">
        <v>59</v>
      </c>
    </row>
    <row r="41" spans="1:51" s="1643" customFormat="1" ht="11.25" customHeight="1" hidden="1">
      <c r="A41" s="1372"/>
      <c s="1372"/>
      <c s="1372"/>
      <c s="1372"/>
      <c s="1372"/>
      <c s="1372"/>
      <c s="1372"/>
      <c s="1372"/>
      <c s="1372"/>
      <c s="1372"/>
      <c s="1372"/>
      <c s="1366"/>
      <c s="1364"/>
      <c s="1364"/>
      <c s="1364"/>
      <c s="1248"/>
      <c s="1249"/>
      <c s="1256">
        <v>1</v>
      </c>
      <c s="1279" t="s">
        <v>109</v>
      </c>
      <c s="1257" t="s">
        <v>110</v>
      </c>
      <c s="1247" t="str">
        <f ca="1">OFFSET(U41,0,-1)</f>
        <v>2</v>
      </c>
      <c s="1484">
        <f ca="1">OFFSET(V41,0,-1)+1</f>
        <v>3</v>
      </c>
      <c s="1981"/>
      <c s="1981"/>
      <c s="1981"/>
      <c s="1981"/>
      <c s="1981"/>
      <c s="1484">
        <f ca="1">OFFSET(AB41,0,-1)+1</f>
        <v>1</v>
      </c>
      <c s="1484">
        <f ca="1">OFFSET(AC41,0,-1)+1</f>
        <v>2</v>
      </c>
      <c s="2274">
        <f ca="1">OFFSET(AD41,0,-1)+1</f>
        <v>3</v>
      </c>
      <c s="2274"/>
      <c s="1484">
        <f ca="1">OFFSET(AF41,0,-2)+1</f>
        <v>4</v>
      </c>
      <c s="1484">
        <f ca="1">OFFSET(AG41,0,-1)+1</f>
        <v>5</v>
      </c>
      <c s="1981"/>
      <c s="1981"/>
      <c s="1981"/>
      <c s="1981"/>
      <c s="1981"/>
      <c s="1484">
        <f ca="1">OFFSET(AM41,0,-1)+1</f>
        <v>1</v>
      </c>
      <c s="1484">
        <f ca="1">OFFSET(AN41,0,-1)+1</f>
        <v>2</v>
      </c>
      <c s="2274">
        <f ca="1">OFFSET(AO41,0,-1)+1</f>
        <v>3</v>
      </c>
      <c s="2274"/>
      <c s="1484">
        <f ca="1">OFFSET(AQ41,0,-2)+1</f>
        <v>4</v>
      </c>
      <c s="1247">
        <f ca="1">OFFSET(AR41,0,-1)</f>
        <v>4</v>
      </c>
      <c s="1484">
        <f ca="1">OFFSET(AS41,0,-1)+1</f>
        <v>5</v>
      </c>
      <c s="513"/>
      <c s="513"/>
      <c s="513"/>
      <c s="513"/>
      <c s="513"/>
      <c s="498">
        <v>0</v>
      </c>
    </row>
    <row r="42" spans="1:51" ht="24" customHeight="1">
      <c r="A42" s="1365" t="s">
        <v>256</v>
      </c>
      <c s="1365"/>
      <c s="1365"/>
      <c s="1365"/>
      <c s="2260">
        <v>1</v>
      </c>
      <c s="1365"/>
      <c s="1365"/>
      <c s="1365"/>
      <c s="1365"/>
      <c s="1365"/>
      <c s="1365"/>
      <c s="1366"/>
      <c s="1367"/>
      <c s="1367"/>
      <c s="1367"/>
      <c s="363"/>
      <c s="362"/>
      <c s="357"/>
      <c s="1495">
        <f>INDEX(PT_DIFFERENTIATION_NUM_NTAR,MATCH(A42,PT_DIFFERENTIATION_NTAR_ID,0))</f>
        <v>0</v>
      </c>
      <c s="300" t="s">
        <v>125</v>
      </c>
      <c s="302"/>
      <c s="2244"/>
      <c s="2245"/>
      <c s="2245"/>
      <c s="2245"/>
      <c s="2245"/>
      <c s="2245"/>
      <c s="2245"/>
      <c s="2245"/>
      <c s="2245"/>
      <c s="2245"/>
      <c s="2246"/>
      <c s="2244" t="str">
        <f>INDEX(PT_DIFFERENTIATION_NTAR,MATCH(A42,PT_DIFFERENTIATION_NTAR_ID,0))</f>
        <v/>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s="502" t="str">
        <f>IF(T42="","",T42)</f>
        <v>Наименование тарифа</v>
      </c>
      <c s="502"/>
      <c s="502"/>
      <c s="1157">
        <v>23</v>
      </c>
    </row>
    <row r="43" spans="1:51" ht="24" customHeight="1">
      <c r="A43" s="1365" t="s">
        <v>256</v>
      </c>
      <c s="1365" t="s">
        <v>257</v>
      </c>
      <c s="1365"/>
      <c s="1365"/>
      <c s="2261"/>
      <c s="2260">
        <v>1</v>
      </c>
      <c s="1365"/>
      <c s="1365"/>
      <c s="1365"/>
      <c s="1365"/>
      <c s="1365"/>
      <c s="1366"/>
      <c s="1367"/>
      <c s="1367"/>
      <c s="1367"/>
      <c s="1489"/>
      <c s="354"/>
      <c s="355"/>
      <c s="1495" t="str">
        <f>INDEX(PT_DIFFERENTIATION_NUM_TER,MATCH(B43,PT_DIFFERENTIATION_TER_ID,0))</f>
        <v>.</v>
      </c>
      <c s="310" t="s">
        <v>397</v>
      </c>
      <c s="302"/>
      <c s="2244"/>
      <c s="2245"/>
      <c s="2245"/>
      <c s="2245"/>
      <c s="2245"/>
      <c s="2245"/>
      <c s="2245"/>
      <c s="2245"/>
      <c s="2245"/>
      <c s="2245"/>
      <c s="2246"/>
      <c s="2244" t="str">
        <f>INDEX(PT_DIFFERENTIATION_TER,MATCH(B43,PT_DIFFERENTIATION_TER_ID,0))</f>
        <v/>
      </c>
      <c s="2245"/>
      <c s="2245"/>
      <c s="2245"/>
      <c s="2245"/>
      <c s="2245"/>
      <c s="2245"/>
      <c s="2245"/>
      <c s="2245"/>
      <c s="2245"/>
      <c s="2245"/>
      <c s="2246"/>
      <c s="1260" t="s">
        <v>398</v>
      </c>
      <c r="AU43" s="502"/>
      <c s="502" t="str">
        <f>IF(T43="","",T43)</f>
        <v>Территория действия тарифа</v>
      </c>
      <c s="502"/>
      <c s="502"/>
      <c s="1157">
        <v>23</v>
      </c>
    </row>
    <row r="44" spans="1:51" ht="24" customHeight="1">
      <c r="A44" s="1365" t="s">
        <v>256</v>
      </c>
      <c s="1365" t="s">
        <v>257</v>
      </c>
      <c s="1365" t="s">
        <v>258</v>
      </c>
      <c s="1365"/>
      <c s="2261"/>
      <c s="2261"/>
      <c s="2260">
        <v>1</v>
      </c>
      <c s="1365"/>
      <c s="1365"/>
      <c s="1365"/>
      <c s="1365"/>
      <c s="1366"/>
      <c s="1367"/>
      <c s="1367"/>
      <c s="1367"/>
      <c s="356"/>
      <c s="354"/>
      <c s="355"/>
      <c s="1495" t="str">
        <f>INDEX(PT_DIFFERENTIATION_NUM_CS,MATCH(C44,PT_DIFFERENTIATION_CS_ID,0))</f>
        <v>..</v>
      </c>
      <c s="311" t="s">
        <v>530</v>
      </c>
      <c s="302"/>
      <c s="2244"/>
      <c s="2245"/>
      <c s="2245"/>
      <c s="2245"/>
      <c s="2245"/>
      <c s="2245"/>
      <c s="2245"/>
      <c s="2245"/>
      <c s="2245"/>
      <c s="2245"/>
      <c s="2246"/>
      <c s="2244" t="str">
        <f>INDEX(PT_DIFFERENTIATION_CS,MATCH(C44,PT_DIFFERENTIATION_CS_ID,0))</f>
        <v/>
      </c>
      <c s="2245"/>
      <c s="2245"/>
      <c s="2245"/>
      <c s="2245"/>
      <c s="2245"/>
      <c s="2245"/>
      <c s="2245"/>
      <c s="2245"/>
      <c s="2245"/>
      <c s="2245"/>
      <c s="2246"/>
      <c s="1260" t="s">
        <v>531</v>
      </c>
      <c r="AU44" s="502"/>
      <c s="502" t="str">
        <f>IF(T44="","",T44)</f>
        <v>Наименование централизованной системы горячего водоснабжения</v>
      </c>
      <c s="502"/>
      <c s="502"/>
      <c s="1157">
        <v>23</v>
      </c>
    </row>
    <row r="45" spans="1:51" ht="24" customHeight="1">
      <c r="A45" s="1365" t="s">
        <v>256</v>
      </c>
      <c s="1365" t="s">
        <v>257</v>
      </c>
      <c s="1365" t="s">
        <v>258</v>
      </c>
      <c s="1365" t="s">
        <v>543</v>
      </c>
      <c s="2261"/>
      <c s="2261"/>
      <c s="2261"/>
      <c s="2261"/>
      <c s="2258" t="str">
        <f>S44&amp;".1"</f>
        <v>...1</v>
      </c>
      <c s="1365"/>
      <c s="1365"/>
      <c s="1366"/>
      <c r="P45" s="2259">
        <v>1</v>
      </c>
      <c s="1483"/>
      <c s="358"/>
      <c s="1495" t="str">
        <f>$I45</f>
        <v>...1</v>
      </c>
      <c s="287" t="s">
        <v>483</v>
      </c>
      <c s="302"/>
      <c s="2352"/>
      <c s="2353"/>
      <c s="2353"/>
      <c s="2353"/>
      <c s="2353"/>
      <c s="2353"/>
      <c s="2353"/>
      <c s="2353"/>
      <c s="2353"/>
      <c s="2353"/>
      <c s="2354"/>
      <c s="2355"/>
      <c s="2356"/>
      <c s="2356"/>
      <c s="2356"/>
      <c s="2356"/>
      <c s="2356"/>
      <c s="2356"/>
      <c s="2356"/>
      <c s="2356"/>
      <c s="2356"/>
      <c s="2356"/>
      <c s="2357"/>
      <c s="1260" t="s">
        <v>484</v>
      </c>
      <c r="AU45" s="502"/>
      <c s="502" t="str">
        <f>IF(T45="","",T45)</f>
        <v>Наименование признака дифференциации</v>
      </c>
      <c s="502"/>
      <c s="502"/>
      <c s="1157">
        <v>23</v>
      </c>
    </row>
    <row r="46" spans="1:51" ht="24" customHeight="1">
      <c r="A46" s="1365" t="s">
        <v>256</v>
      </c>
      <c s="1365" t="s">
        <v>257</v>
      </c>
      <c s="1365" t="s">
        <v>258</v>
      </c>
      <c s="1365" t="s">
        <v>543</v>
      </c>
      <c s="2261"/>
      <c s="2261"/>
      <c s="2261"/>
      <c s="2261"/>
      <c s="2288"/>
      <c s="2258" t="str">
        <f>I45&amp;".1"</f>
        <v>...1.1</v>
      </c>
      <c s="1365"/>
      <c s="1366" t="s">
        <v>406</v>
      </c>
      <c r="P46" s="2259"/>
      <c s="2259">
        <v>1</v>
      </c>
      <c s="359"/>
      <c s="1495" t="str">
        <f>$J46</f>
        <v>...1.1</v>
      </c>
      <c s="288" t="s">
        <v>407</v>
      </c>
      <c s="302"/>
      <c s="2247"/>
      <c s="2248"/>
      <c s="2248"/>
      <c s="2248"/>
      <c s="2248"/>
      <c s="2248"/>
      <c s="2248"/>
      <c s="2248"/>
      <c s="2248"/>
      <c s="2248"/>
      <c s="2249"/>
      <c s="2247"/>
      <c s="2248"/>
      <c s="2248"/>
      <c s="2248"/>
      <c s="2248"/>
      <c s="2248"/>
      <c s="2248"/>
      <c s="2248"/>
      <c s="2248"/>
      <c s="2248"/>
      <c s="2248"/>
      <c s="2249"/>
      <c s="1309" t="s">
        <v>485</v>
      </c>
      <c r="AU46" s="502"/>
      <c s="502" t="str">
        <f>IF(T46="","",T46)</f>
        <v>Группа потребителей</v>
      </c>
      <c s="502"/>
      <c s="502"/>
      <c s="1157">
        <v>23</v>
      </c>
    </row>
    <row r="47" spans="1:51" ht="24" customHeight="1">
      <c r="A47" s="1365" t="s">
        <v>256</v>
      </c>
      <c s="1365" t="s">
        <v>257</v>
      </c>
      <c s="1365" t="s">
        <v>258</v>
      </c>
      <c s="1365" t="s">
        <v>543</v>
      </c>
      <c s="2261"/>
      <c s="2261"/>
      <c s="2261"/>
      <c s="2261"/>
      <c s="2288"/>
      <c s="2288"/>
      <c s="2258" t="str">
        <f>J46&amp;".1"</f>
        <v>...1.1.1</v>
      </c>
      <c s="1366"/>
      <c r="P47" s="2259"/>
      <c s="2259"/>
      <c s="359">
        <v>1</v>
      </c>
      <c s="1495" t="str">
        <f>$K47</f>
        <v>...1.1.1</v>
      </c>
      <c s="1439"/>
      <c s="302"/>
      <c s="1362"/>
      <c s="1362"/>
      <c s="1362"/>
      <c s="1362"/>
      <c s="1362"/>
      <c s="1362"/>
      <c s="1363"/>
      <c s="2269"/>
      <c s="2270" t="s">
        <v>65</v>
      </c>
      <c s="2269"/>
      <c s="2270" t="s">
        <v>65</v>
      </c>
      <c s="753"/>
      <c s="753"/>
      <c s="753"/>
      <c s="753"/>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STRCHECKDATE(V48:AR48)</f>
      </c>
      <c s="502"/>
      <c s="502" t="str">
        <f>IF(T47="","",T47)</f>
        <v/>
      </c>
      <c s="502"/>
      <c s="502"/>
      <c s="1157">
        <v>23</v>
      </c>
    </row>
    <row r="48" spans="1:51" ht="0" customHeight="1">
      <c r="A48" s="1365" t="s">
        <v>256</v>
      </c>
      <c s="1365" t="s">
        <v>257</v>
      </c>
      <c s="1365" t="s">
        <v>258</v>
      </c>
      <c s="1365" t="s">
        <v>543</v>
      </c>
      <c s="2261"/>
      <c s="2261"/>
      <c s="2261"/>
      <c s="2261"/>
      <c s="2288"/>
      <c s="2288"/>
      <c s="2258"/>
      <c s="1366"/>
      <c r="P48" s="2259"/>
      <c s="2259"/>
      <c s="359"/>
      <c s="1492"/>
      <c s="302"/>
      <c s="302"/>
      <c s="1362"/>
      <c s="1362"/>
      <c s="1362"/>
      <c s="1362"/>
      <c s="1362"/>
      <c s="1362"/>
      <c s="330" t="str">
        <f>AC47&amp;"-"&amp;AE47</f>
        <v>-</v>
      </c>
      <c s="2270"/>
      <c s="2270"/>
      <c s="2270"/>
      <c s="2270"/>
      <c s="327"/>
      <c s="327"/>
      <c s="327"/>
      <c s="327"/>
      <c s="327"/>
      <c s="327"/>
      <c s="330" t="str">
        <f>AN47&amp;"-"&amp;AP47</f>
        <v>-</v>
      </c>
      <c s="2268"/>
      <c s="2109"/>
      <c s="2290"/>
      <c s="2109"/>
      <c s="1441"/>
      <c s="2351"/>
      <c r="AU48" s="502"/>
      <c s="502" t="str">
        <f>IF(T48="","",T48)</f>
        <v/>
      </c>
      <c s="502"/>
      <c s="502"/>
      <c s="1157">
        <v>0</v>
      </c>
    </row>
    <row r="49" spans="1:51" ht="21" customHeight="1">
      <c r="A49" s="1365" t="s">
        <v>256</v>
      </c>
      <c s="1365" t="s">
        <v>257</v>
      </c>
      <c s="1365" t="s">
        <v>258</v>
      </c>
      <c s="1365" t="s">
        <v>543</v>
      </c>
      <c s="2261"/>
      <c s="2261"/>
      <c s="2261"/>
      <c s="2261"/>
      <c s="2288"/>
      <c s="2258"/>
      <c s="1365"/>
      <c s="1366"/>
      <c r="P49" s="2259"/>
      <c s="2259"/>
      <c s="358"/>
      <c s="1280"/>
      <c s="289" t="s">
        <v>486</v>
      </c>
      <c s="369"/>
      <c s="369"/>
      <c s="602"/>
      <c s="602"/>
      <c s="602"/>
      <c s="602"/>
      <c s="602"/>
      <c s="369"/>
      <c s="369"/>
      <c s="369"/>
      <c s="369"/>
      <c s="369"/>
      <c s="369"/>
      <c s="602"/>
      <c s="602"/>
      <c s="602"/>
      <c s="602"/>
      <c s="602"/>
      <c s="369"/>
      <c s="369"/>
      <c s="369"/>
      <c s="369"/>
      <c s="369"/>
      <c s="369"/>
      <c s="1260" t="s">
        <v>487</v>
      </c>
      <c r="AU49" s="502"/>
      <c s="502" t="str">
        <f>IF(T49="","",T49)</f>
        <v>Добавить значение признака дифференциации</v>
      </c>
      <c s="502"/>
      <c s="502"/>
      <c s="1157">
        <v>20</v>
      </c>
    </row>
    <row r="50" spans="1:51" ht="22.05" customHeight="1">
      <c r="A50" s="1365" t="s">
        <v>256</v>
      </c>
      <c s="1365" t="s">
        <v>257</v>
      </c>
      <c s="1365" t="s">
        <v>258</v>
      </c>
      <c s="1365" t="s">
        <v>543</v>
      </c>
      <c s="2261"/>
      <c s="2261"/>
      <c s="2261"/>
      <c s="2261"/>
      <c s="2258"/>
      <c s="1365"/>
      <c s="1365"/>
      <c s="1366"/>
      <c r="P50" s="2259"/>
      <c s="1483"/>
      <c s="358"/>
      <c s="1280"/>
      <c s="367" t="s">
        <v>412</v>
      </c>
      <c s="369"/>
      <c s="369"/>
      <c s="602"/>
      <c s="602"/>
      <c s="602"/>
      <c s="602"/>
      <c s="602"/>
      <c s="369"/>
      <c s="369"/>
      <c s="369"/>
      <c s="369"/>
      <c s="368"/>
      <c s="369"/>
      <c s="602"/>
      <c s="602"/>
      <c s="602"/>
      <c s="602"/>
      <c s="602"/>
      <c s="369"/>
      <c s="369"/>
      <c s="369"/>
      <c s="369"/>
      <c s="368"/>
      <c s="369"/>
      <c s="1442"/>
      <c r="AU50" s="502"/>
      <c s="502" t="str">
        <f>IF(T50="","",T50)</f>
        <v>Добавить группу потребителей</v>
      </c>
      <c s="502"/>
      <c s="502"/>
      <c s="1157">
        <v>21</v>
      </c>
    </row>
    <row r="51" spans="1:51" ht="22.05" customHeight="1">
      <c r="A51" s="1365" t="s">
        <v>256</v>
      </c>
      <c s="1365" t="s">
        <v>257</v>
      </c>
      <c s="1365" t="s">
        <v>258</v>
      </c>
      <c s="1365" t="s">
        <v>543</v>
      </c>
      <c s="2261"/>
      <c s="2261"/>
      <c s="2261"/>
      <c s="2260"/>
      <c s="1365"/>
      <c s="1365"/>
      <c s="1365"/>
      <c s="1366"/>
      <c s="1367"/>
      <c s="1367"/>
      <c s="539"/>
      <c s="362"/>
      <c s="377"/>
      <c s="357"/>
      <c s="1280"/>
      <c s="374" t="s">
        <v>488</v>
      </c>
      <c s="369"/>
      <c s="369"/>
      <c s="602"/>
      <c s="602"/>
      <c s="602"/>
      <c s="602"/>
      <c s="602"/>
      <c s="369"/>
      <c s="369"/>
      <c s="369"/>
      <c s="369"/>
      <c s="368"/>
      <c s="369"/>
      <c s="602"/>
      <c s="602"/>
      <c s="602"/>
      <c s="602"/>
      <c s="602"/>
      <c s="369"/>
      <c s="369"/>
      <c s="369"/>
      <c s="369"/>
      <c s="368"/>
      <c s="369"/>
      <c s="305"/>
      <c r="AU51" s="502"/>
      <c s="502" t="str">
        <f>IF(T51="","",T51)</f>
        <v>Добавить наименование признака дифференциации</v>
      </c>
      <c s="502"/>
      <c s="502"/>
      <c s="1157">
        <v>21</v>
      </c>
    </row>
    <row r="52" spans="1:51" s="1644" customFormat="1" ht="0" customHeight="1">
      <c r="A52" s="1345" t="s">
        <v>256</v>
      </c>
      <c s="1345" t="s">
        <v>257</v>
      </c>
      <c s="1316"/>
      <c s="1316"/>
      <c s="2261"/>
      <c s="2260"/>
      <c s="1316"/>
      <c s="1316"/>
      <c s="1316"/>
      <c s="1316"/>
      <c s="1316"/>
      <c s="1496"/>
      <c s="1323"/>
      <c s="1323"/>
      <c r="P52" s="1318"/>
      <c s="1319"/>
      <c s="1318"/>
      <c s="1324"/>
      <c s="1327" t="s">
        <v>415</v>
      </c>
      <c s="1326"/>
      <c s="1326"/>
      <c s="1326"/>
      <c s="1326"/>
      <c s="1326"/>
      <c s="1326"/>
      <c s="1326"/>
      <c s="1326"/>
      <c s="1326"/>
      <c s="1326"/>
      <c s="1326"/>
      <c s="1326"/>
      <c s="1326"/>
      <c s="1326"/>
      <c s="1326"/>
      <c s="1326"/>
      <c s="1326"/>
      <c s="1326"/>
      <c s="1326"/>
      <c s="1326"/>
      <c s="1326"/>
      <c s="1326"/>
      <c s="1326"/>
      <c s="1326"/>
      <c s="1326"/>
      <c r="AU52" s="791"/>
      <c s="791" t="str">
        <f>IF(T52="","",T52)</f>
        <v>Добавить централизованную систему для дифференциации</v>
      </c>
      <c s="791"/>
      <c s="791"/>
      <c s="520">
        <v>0</v>
      </c>
    </row>
    <row r="53" spans="1:51" s="1644" customFormat="1" ht="0" customHeight="1">
      <c r="A53" s="1345" t="s">
        <v>256</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r="AU53" s="502"/>
      <c s="502" t="str">
        <f>IF(T53="","",T53)</f>
        <v>Добавить территорию для дифференциации</v>
      </c>
      <c s="502"/>
      <c s="502"/>
      <c s="513">
        <v>0</v>
      </c>
    </row>
    <row r="54" spans="1:51" s="1644" customFormat="1" ht="0" customHeight="1">
      <c r="A54" s="1316"/>
      <c s="1316"/>
      <c s="1316"/>
      <c s="1316"/>
      <c s="1345"/>
      <c s="1316"/>
      <c s="1316"/>
      <c s="1316"/>
      <c s="1316"/>
      <c s="1316"/>
      <c s="1316"/>
      <c s="1496"/>
      <c s="1323"/>
      <c s="1323"/>
      <c r="P54" s="1318"/>
      <c s="1319"/>
      <c s="1318"/>
      <c s="1324"/>
      <c s="1327" t="s">
        <v>448</v>
      </c>
      <c s="1326"/>
      <c s="1326"/>
      <c s="1326"/>
      <c s="1326"/>
      <c s="1326"/>
      <c s="1326"/>
      <c s="1326"/>
      <c s="1326"/>
      <c s="1326"/>
      <c s="1326"/>
      <c s="1326"/>
      <c s="1326"/>
      <c s="1326"/>
      <c s="1326"/>
      <c s="1326"/>
      <c s="1326"/>
      <c s="1326"/>
      <c s="1326"/>
      <c s="1326"/>
      <c s="1326"/>
      <c s="1326"/>
      <c s="1326"/>
      <c s="1326"/>
      <c s="1326"/>
      <c s="1326"/>
      <c r="AU54" s="791"/>
      <c s="791" t="str">
        <f>IF(T54="","",T54)</f>
        <v>Добавить наименование тарифа</v>
      </c>
      <c s="791"/>
      <c s="791"/>
      <c s="520">
        <v>0</v>
      </c>
    </row>
    <row r="55" spans="13:51" ht="11.55" customHeight="1">
      <c r="M55" s="1162"/>
      <c s="1162"/>
      <c s="539"/>
      <c s="1157"/>
      <c s="1157"/>
      <c s="1157"/>
      <c s="1157"/>
      <c r="AT55" s="1157"/>
      <c s="1157"/>
      <c s="1157"/>
      <c s="1157"/>
      <c s="1157"/>
      <c s="1157">
        <v>11</v>
      </c>
    </row>
    <row r="56" spans="15:51" ht="14.7" customHeight="1">
      <c r="O56" s="539"/>
      <c r="S56" s="1255"/>
      <c s="2287"/>
      <c s="2287"/>
      <c s="2287"/>
      <c s="2287"/>
      <c s="2287"/>
      <c s="2287"/>
      <c s="2287"/>
      <c s="2287"/>
      <c s="2287"/>
      <c s="2287"/>
      <c s="2287"/>
      <c s="2287"/>
      <c s="2287"/>
      <c s="2287"/>
      <c s="2287"/>
      <c s="2287"/>
      <c s="2287"/>
      <c s="2287"/>
      <c s="2287"/>
      <c s="2287"/>
      <c s="2287"/>
      <c s="2287"/>
      <c s="2287"/>
      <c s="2287"/>
      <c s="2287"/>
      <c s="2287"/>
      <c r="AY56" s="1157">
        <v>14</v>
      </c>
    </row>
    <row r="57" spans="15:15 51:51" ht="14.7" customHeight="1">
      <c r="O57" s="539"/>
      <c r="AY57" s="1157">
        <v>14</v>
      </c>
    </row>
    <row r="58" spans="15:51" ht="14.7" customHeight="1">
      <c r="O58" s="539"/>
      <c r="S58" s="1255"/>
      <c s="2287"/>
      <c s="2287"/>
      <c s="2287"/>
      <c s="2287"/>
      <c s="2287"/>
      <c s="2287"/>
      <c s="2287"/>
      <c s="2287"/>
      <c s="2287"/>
      <c s="2287"/>
      <c s="2287"/>
      <c s="2287"/>
      <c s="2287"/>
      <c s="2287"/>
      <c s="2287"/>
      <c s="2287"/>
      <c s="2287"/>
      <c s="2287"/>
      <c s="2287"/>
      <c s="2287"/>
      <c s="2287"/>
      <c s="2287"/>
      <c s="2287"/>
      <c s="2287"/>
      <c s="2287"/>
      <c s="2287"/>
      <c r="AY58" s="1157">
        <v>14</v>
      </c>
    </row>
    <row r="59" spans="1:51" ht="22.5" customHeight="1" hidden="1">
      <c r="A59"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633">
        <v>0</v>
      </c>
      <c s="1633">
        <v>0</v>
      </c>
      <c s="1633">
        <v>0</v>
      </c>
      <c s="1633">
        <v>0</v>
      </c>
      <c s="1633">
        <v>0</v>
      </c>
      <c s="1157">
        <v>0</v>
      </c>
      <c s="1157">
        <v>0</v>
      </c>
      <c s="1157">
        <v>0</v>
      </c>
      <c s="1157">
        <v>0</v>
      </c>
      <c s="1157">
        <v>0</v>
      </c>
      <c s="1157">
        <v>19</v>
      </c>
      <c s="1633">
        <v>19</v>
      </c>
      <c s="1633">
        <v>19</v>
      </c>
      <c s="1633">
        <v>19</v>
      </c>
      <c s="1633">
        <v>19</v>
      </c>
      <c s="1633">
        <v>19</v>
      </c>
      <c s="1157">
        <v>19</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1BFD52A-705D-8169-48FF-0.312EBA71}"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95">
        <f>INDEX(PT_DIFFERENTIATION_NUM_NTAR,MATCH(A2,PT_DIFFERENTIATION_NTAR_ID,0))</f>
      </c>
      <c s="300" t="s">
        <v>125</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95">
        <f>INDEX(PT_DIFFERENTIATION_NUM_TER,MATCH(B3,PT_DIFFERENTIATION_TER_ID,0))</f>
      </c>
      <c s="310" t="s">
        <v>397</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398</v>
      </c>
      <c r="BE3" s="502"/>
      <c s="502" t="str">
        <f>IF(T3="","",T3)</f>
        <v>Территория действия тарифа</v>
      </c>
      <c s="502"/>
      <c s="502"/>
      <c s="1157">
        <v>0</v>
      </c>
    </row>
    <row r="4" spans="1:61" ht="33.75" customHeight="1" hidden="1">
      <c r="A4" s="1365"/>
      <c s="1365"/>
      <c s="1365"/>
      <c s="1365"/>
      <c s="2261"/>
      <c s="2261"/>
      <c s="2260">
        <v>1</v>
      </c>
      <c s="1365"/>
      <c s="1365"/>
      <c s="1365"/>
      <c s="1365"/>
      <c s="1366"/>
      <c s="1367"/>
      <c s="1367"/>
      <c s="1367"/>
      <c s="1414"/>
      <c s="1413"/>
      <c s="355"/>
      <c s="1495">
        <f>INDEX(PT_DIFFERENTIATION_NUM_CS,MATCH(C4,PT_DIFFERENTIATION_CS_ID,0))</f>
      </c>
      <c s="311" t="s">
        <v>530</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531</v>
      </c>
      <c r="BE4" s="502"/>
      <c s="502" t="str">
        <f>IF(T4="","",T4)</f>
        <v>Наименование централизованной системы горячего водоснабжения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5" s="502"/>
      <c s="502" t="str">
        <f>IF(T5="","",T5)</f>
        <v/>
      </c>
      <c s="502"/>
      <c s="502"/>
      <c s="513">
        <v>0</v>
      </c>
    </row>
    <row r="6" spans="1:61" s="1644" customFormat="1" ht="14.25" customHeight="1" hidden="1">
      <c r="A6" s="1345"/>
      <c s="1345"/>
      <c s="1345"/>
      <c s="1345"/>
      <c s="2261"/>
      <c s="2261"/>
      <c s="2261"/>
      <c s="2261"/>
      <c s="2258" t="str">
        <f>S5&amp;".1"</f>
        <v>.1</v>
      </c>
      <c s="1345"/>
      <c s="1345"/>
      <c s="1348" t="s">
        <v>403</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501</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503</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504</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505</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468</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9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96"/>
      <c s="1323"/>
      <c s="1323"/>
      <c r="P17"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87" t="s">
        <v>65</v>
      </c>
      <c s="1738"/>
      <c s="1487" t="s">
        <v>65</v>
      </c>
      <c r="BI20" s="1157">
        <v>0</v>
      </c>
    </row>
    <row r="21" spans="56:61" ht="14.25" customHeight="1" hidden="1">
      <c r="BD21" s="498"/>
      <c s="498"/>
      <c s="498"/>
      <c s="498"/>
      <c s="498"/>
      <c s="1157">
        <v>0</v>
      </c>
    </row>
    <row r="22" spans="15:29 50:61" ht="14.25" customHeight="1" hidden="1">
      <c r="O22" s="1369" t="s">
        <v>417</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418</v>
      </c>
      <c s="1510"/>
      <c s="1512"/>
      <c s="1512"/>
      <c r="AA24" s="1509" t="s">
        <v>420</v>
      </c>
      <c r="AC24" s="1509" t="s">
        <v>421</v>
      </c>
      <c s="1509" t="s">
        <v>469</v>
      </c>
      <c r="AH24" s="1509" t="s">
        <v>469</v>
      </c>
      <c r="AK24" s="1509" t="s">
        <v>506</v>
      </c>
      <c s="1509" t="s">
        <v>469</v>
      </c>
      <c r="AP24" s="1509" t="s">
        <v>469</v>
      </c>
      <c r="AY24" s="1509" t="s">
        <v>420</v>
      </c>
      <c r="BA24" s="1509" t="s">
        <v>421</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423</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424</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90"/>
      <c s="328"/>
      <c s="328"/>
      <c s="328"/>
      <c s="328"/>
      <c s="328"/>
      <c s="328"/>
      <c s="328"/>
      <c s="280" t="s">
        <v>427</v>
      </c>
      <c s="328"/>
      <c s="328"/>
      <c s="328"/>
      <c s="328"/>
      <c s="328"/>
      <c s="328"/>
      <c s="328"/>
      <c s="328"/>
      <c s="328"/>
      <c s="328"/>
      <c s="328"/>
      <c s="328"/>
      <c s="328"/>
      <c s="328"/>
      <c s="328"/>
      <c s="328"/>
      <c s="328"/>
      <c s="328"/>
      <c s="328"/>
      <c s="328"/>
      <c s="328"/>
      <c s="328"/>
      <c s="328"/>
      <c s="280" t="s">
        <v>427</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300</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301</v>
      </c>
      <c r="BI40" s="1157">
        <v>14</v>
      </c>
    </row>
    <row r="41" spans="17:61" ht="14.7" customHeight="1">
      <c r="Q41" s="293"/>
      <c s="378"/>
      <c s="2275" t="s">
        <v>87</v>
      </c>
      <c s="2211" t="s">
        <v>507</v>
      </c>
      <c s="303"/>
      <c s="2276" t="s">
        <v>429</v>
      </c>
      <c s="2277"/>
      <c s="2277"/>
      <c s="2277"/>
      <c s="2277"/>
      <c s="2277"/>
      <c s="2278"/>
      <c s="2279" t="s">
        <v>430</v>
      </c>
      <c s="2330" t="s">
        <v>508</v>
      </c>
      <c s="2293"/>
      <c s="2293"/>
      <c s="2331"/>
      <c s="2330" t="s">
        <v>509</v>
      </c>
      <c s="2293"/>
      <c s="2293"/>
      <c s="2331"/>
      <c s="2330" t="s">
        <v>510</v>
      </c>
      <c s="2293"/>
      <c s="2293"/>
      <c s="2331"/>
      <c s="2330" t="s">
        <v>511</v>
      </c>
      <c s="2293"/>
      <c s="2293"/>
      <c s="2331"/>
      <c s="2276" t="s">
        <v>429</v>
      </c>
      <c s="2277"/>
      <c s="2277"/>
      <c s="2277"/>
      <c s="2277"/>
      <c s="2277"/>
      <c s="2278"/>
      <c s="2279" t="s">
        <v>430</v>
      </c>
      <c s="2282" t="s">
        <v>432</v>
      </c>
      <c s="2129"/>
      <c r="BI41" s="1157">
        <v>14</v>
      </c>
    </row>
    <row r="42" spans="17:61" ht="35.7" customHeight="1">
      <c r="Q42" s="293"/>
      <c s="378"/>
      <c s="2275"/>
      <c s="2211"/>
      <c s="1033"/>
      <c s="2194" t="s">
        <v>512</v>
      </c>
      <c s="2195"/>
      <c s="2194" t="s">
        <v>513</v>
      </c>
      <c s="2195"/>
      <c s="2296" t="s">
        <v>514</v>
      </c>
      <c s="2315"/>
      <c s="2316"/>
      <c s="2280"/>
      <c s="2332"/>
      <c s="2333"/>
      <c s="2333"/>
      <c s="2334"/>
      <c s="2332"/>
      <c s="2333"/>
      <c s="2333"/>
      <c s="2334"/>
      <c s="2332"/>
      <c s="2333"/>
      <c s="2333"/>
      <c s="2334"/>
      <c s="2332"/>
      <c s="2333"/>
      <c s="2333"/>
      <c s="2334"/>
      <c s="2194" t="s">
        <v>512</v>
      </c>
      <c s="2195"/>
      <c s="2194" t="s">
        <v>513</v>
      </c>
      <c s="2195"/>
      <c s="2296" t="s">
        <v>514</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137</v>
      </c>
      <c s="1372" t="s">
        <v>138</v>
      </c>
      <c s="1372" t="s">
        <v>139</v>
      </c>
      <c s="1366" t="s">
        <v>437</v>
      </c>
      <c s="1366" t="s">
        <v>438</v>
      </c>
      <c s="1366" t="s">
        <v>439</v>
      </c>
      <c s="1366" t="s">
        <v>440</v>
      </c>
      <c s="1366" t="s">
        <v>441</v>
      </c>
      <c s="1366" t="s">
        <v>442</v>
      </c>
      <c s="1366" t="s">
        <v>443</v>
      </c>
      <c s="1366" t="s">
        <v>418</v>
      </c>
      <c r="Q44" s="293"/>
      <c s="378"/>
      <c s="2275"/>
      <c s="2211"/>
      <c s="304"/>
      <c s="1481" t="s">
        <v>478</v>
      </c>
      <c s="1481" t="s">
        <v>479</v>
      </c>
      <c s="1481" t="s">
        <v>478</v>
      </c>
      <c s="1481" t="s">
        <v>479</v>
      </c>
      <c s="1491" t="s">
        <v>446</v>
      </c>
      <c s="2272" t="s">
        <v>447</v>
      </c>
      <c s="2273"/>
      <c s="2281"/>
      <c s="2335"/>
      <c s="2336"/>
      <c s="2336"/>
      <c s="2337"/>
      <c s="2335"/>
      <c s="2336"/>
      <c s="2336"/>
      <c s="2337"/>
      <c s="2335"/>
      <c s="2336"/>
      <c s="2336"/>
      <c s="2337"/>
      <c s="2335"/>
      <c s="2336"/>
      <c s="2336"/>
      <c s="2337"/>
      <c s="1481" t="s">
        <v>478</v>
      </c>
      <c s="1481" t="s">
        <v>479</v>
      </c>
      <c s="1481" t="s">
        <v>478</v>
      </c>
      <c s="1481" t="s">
        <v>479</v>
      </c>
      <c s="1491" t="s">
        <v>446</v>
      </c>
      <c s="2272" t="s">
        <v>447</v>
      </c>
      <c s="2273"/>
      <c s="2281"/>
      <c s="2284"/>
      <c s="2129"/>
      <c r="BI44" s="1157">
        <v>14</v>
      </c>
    </row>
    <row r="45" spans="1:61" s="1643" customFormat="1" ht="0" customHeight="1">
      <c r="A45" s="1372"/>
      <c s="1372"/>
      <c s="1372"/>
      <c s="1372"/>
      <c s="1372"/>
      <c s="1372"/>
      <c s="1372"/>
      <c s="1372"/>
      <c s="1372"/>
      <c s="1372"/>
      <c s="1372"/>
      <c s="1366"/>
      <c s="1364"/>
      <c s="1364"/>
      <c s="1364"/>
      <c s="512"/>
      <c s="1256"/>
      <c s="1256">
        <v>1</v>
      </c>
      <c s="1279" t="s">
        <v>109</v>
      </c>
      <c s="1257" t="s">
        <v>110</v>
      </c>
      <c s="1247" t="str">
        <f ca="1">OFFSET(U45,0,-1)</f>
        <v>2</v>
      </c>
      <c s="1484">
        <f ca="1">OFFSET(V45,0,-1)+1</f>
        <v>3</v>
      </c>
      <c s="1484">
        <f ca="1">OFFSET(W45,0,-1)+1</f>
        <v>4</v>
      </c>
      <c s="1484">
        <f ca="1">OFFSET(X45,0,-1)+1</f>
        <v>5</v>
      </c>
      <c s="1484">
        <f ca="1">OFFSET(Y45,0,-1)+1</f>
        <v>6</v>
      </c>
      <c s="1484">
        <f ca="1">OFFSET(Z45,0,-1)+1</f>
        <v>7</v>
      </c>
      <c s="2274">
        <f ca="1">OFFSET(AA45,0,-1)+1</f>
        <v>8</v>
      </c>
      <c s="2274"/>
      <c s="1484">
        <f ca="1">OFFSET(AC45,0,-2)+1</f>
        <v>9</v>
      </c>
      <c s="1484">
        <f ca="1">OFFSET(AD45,0,-1)+1</f>
        <v>10</v>
      </c>
      <c s="1484"/>
      <c s="1484"/>
      <c s="1484"/>
      <c s="1484"/>
      <c s="1484"/>
      <c s="1484"/>
      <c s="1484"/>
      <c s="1484"/>
      <c s="1484"/>
      <c s="1484"/>
      <c s="1484"/>
      <c s="1484"/>
      <c s="1484"/>
      <c s="1484"/>
      <c s="1484"/>
      <c s="1484"/>
      <c s="1484"/>
      <c s="1484"/>
      <c s="1484">
        <f ca="1">OFFSET(AW45,0,-1)+1</f>
        <v>1</v>
      </c>
      <c s="1484">
        <f ca="1">OFFSET(AX45,0,-1)+1</f>
        <v>2</v>
      </c>
      <c s="2274">
        <f ca="1">OFFSET(AY45,0,-1)+1</f>
        <v>3</v>
      </c>
      <c s="2274"/>
      <c s="1484">
        <f ca="1">OFFSET(BA45,0,-2)+1</f>
        <v>4</v>
      </c>
      <c s="1247">
        <f ca="1">OFFSET(BB45,0,-1)</f>
        <v>4</v>
      </c>
      <c s="1484">
        <f ca="1">OFFSET(BC45,0,-1)+1</f>
        <v>5</v>
      </c>
      <c s="513"/>
      <c s="513"/>
      <c s="513"/>
      <c s="513"/>
      <c s="513"/>
      <c s="498">
        <v>0</v>
      </c>
    </row>
    <row r="46" spans="1:61" ht="22.05" customHeight="1">
      <c r="A46" s="1365" t="s">
        <v>261</v>
      </c>
      <c s="1365"/>
      <c s="1365"/>
      <c s="1365"/>
      <c s="2260">
        <v>1</v>
      </c>
      <c s="1365"/>
      <c s="1365"/>
      <c s="1365"/>
      <c s="1365"/>
      <c s="1365"/>
      <c s="1365"/>
      <c s="1366"/>
      <c s="1367"/>
      <c s="1367"/>
      <c s="1367"/>
      <c s="1411"/>
      <c s="875"/>
      <c s="357"/>
      <c s="1495">
        <f>INDEX(PT_DIFFERENTIATION_NUM_NTAR,MATCH(A46,PT_DIFFERENTIATION_NTAR_ID,0))</f>
        <v>0</v>
      </c>
      <c s="300" t="s">
        <v>125</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261</v>
      </c>
      <c s="1365" t="s">
        <v>262</v>
      </c>
      <c s="1365"/>
      <c s="1365"/>
      <c s="2261"/>
      <c s="2260">
        <v>1</v>
      </c>
      <c s="1365"/>
      <c s="1365"/>
      <c s="1365"/>
      <c s="1365"/>
      <c s="1365"/>
      <c s="1366"/>
      <c s="1367"/>
      <c s="1367"/>
      <c s="1367"/>
      <c s="1412"/>
      <c s="1413"/>
      <c s="355"/>
      <c s="1495" t="str">
        <f>INDEX(PT_DIFFERENTIATION_NUM_TER,MATCH(B47,PT_DIFFERENTIATION_TER_ID,0))</f>
        <v>.</v>
      </c>
      <c s="310" t="s">
        <v>397</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398</v>
      </c>
      <c r="BE47" s="502"/>
      <c s="502" t="str">
        <f>IF(T47="","",T47)</f>
        <v>Территория действия тарифа</v>
      </c>
      <c s="502"/>
      <c s="502"/>
      <c s="1157">
        <v>21</v>
      </c>
    </row>
    <row r="48" spans="1:61" ht="35.7" customHeight="1">
      <c r="A48" s="1365" t="s">
        <v>261</v>
      </c>
      <c s="1365" t="s">
        <v>262</v>
      </c>
      <c s="1365" t="s">
        <v>263</v>
      </c>
      <c s="1365"/>
      <c s="2261"/>
      <c s="2261"/>
      <c s="2260">
        <v>1</v>
      </c>
      <c s="1365"/>
      <c s="1365"/>
      <c s="1365"/>
      <c s="1365"/>
      <c s="1366"/>
      <c s="1367"/>
      <c s="1367"/>
      <c s="1367"/>
      <c s="1414"/>
      <c s="1413"/>
      <c s="355"/>
      <c s="1495" t="str">
        <f>INDEX(PT_DIFFERENTIATION_NUM_CS,MATCH(C48,PT_DIFFERENTIATION_CS_ID,0))</f>
        <v>..</v>
      </c>
      <c s="311" t="s">
        <v>530</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531</v>
      </c>
      <c r="BE48" s="502"/>
      <c s="502" t="str">
        <f>IF(T48="","",T48)</f>
        <v>Наименование централизованной системы горячего водоснабжения</v>
      </c>
      <c s="502"/>
      <c s="502"/>
      <c s="1157">
        <v>34</v>
      </c>
    </row>
    <row r="49" spans="1:61" s="1644" customFormat="1" ht="0" customHeight="1">
      <c r="A49" s="1345" t="s">
        <v>261</v>
      </c>
      <c s="1345" t="s">
        <v>262</v>
      </c>
      <c s="1345" t="s">
        <v>263</v>
      </c>
      <c s="1345" t="s">
        <v>544</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402</v>
      </c>
      <c r="BE49" s="502"/>
      <c s="502" t="str">
        <f>IF(T49="","",T49)</f>
        <v/>
      </c>
      <c s="502"/>
      <c s="502"/>
      <c s="513">
        <v>0</v>
      </c>
    </row>
    <row r="50" spans="1:61" s="1644" customFormat="1" ht="0" customHeight="1">
      <c r="A50" s="1345" t="s">
        <v>261</v>
      </c>
      <c s="1345" t="s">
        <v>262</v>
      </c>
      <c s="1345" t="s">
        <v>263</v>
      </c>
      <c s="1345" t="s">
        <v>544</v>
      </c>
      <c s="2261"/>
      <c s="2261"/>
      <c s="2261"/>
      <c s="2261"/>
      <c s="2258" t="str">
        <f>S49&amp;".1"</f>
        <v>.1</v>
      </c>
      <c s="1345"/>
      <c s="1345"/>
      <c s="1348" t="s">
        <v>403</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261</v>
      </c>
      <c s="1345" t="s">
        <v>262</v>
      </c>
      <c s="1345" t="s">
        <v>263</v>
      </c>
      <c s="1345" t="s">
        <v>544</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261</v>
      </c>
      <c s="1365" t="s">
        <v>262</v>
      </c>
      <c s="1365" t="s">
        <v>263</v>
      </c>
      <c s="1365" t="s">
        <v>544</v>
      </c>
      <c s="2261"/>
      <c s="2261"/>
      <c s="2261"/>
      <c s="2261"/>
      <c s="2288"/>
      <c s="2288"/>
      <c s="2258" t="str">
        <f>S48&amp;".1"</f>
        <v>...1</v>
      </c>
      <c s="1366"/>
      <c r="P52" s="2259"/>
      <c s="2259"/>
      <c s="359">
        <v>1</v>
      </c>
      <c s="2343" t="str">
        <f>$K52</f>
        <v>...1</v>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501</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502</v>
      </c>
      <c s="1395"/>
      <c s="1498"/>
      <c s="1395"/>
      <c s="1498"/>
      <c s="1395"/>
      <c s="1395"/>
      <c s="1395"/>
      <c s="1395"/>
      <c s="1399"/>
      <c s="2256"/>
      <c r="BE53" s="502"/>
      <c s="502"/>
      <c s="502"/>
      <c s="502"/>
      <c s="1157">
        <v>11</v>
      </c>
    </row>
    <row r="54" spans="1:61" ht="11.55" customHeight="1">
      <c r="A54" s="1365" t="s">
        <v>261</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503</v>
      </c>
      <c s="418"/>
      <c s="418"/>
      <c s="418"/>
      <c s="1395"/>
      <c s="1395"/>
      <c s="1498"/>
      <c s="1395"/>
      <c s="1498"/>
      <c s="1395"/>
      <c s="1395"/>
      <c s="1395"/>
      <c s="1395"/>
      <c s="1399"/>
      <c s="2256"/>
      <c r="BE54" s="502"/>
      <c s="502"/>
      <c s="502"/>
      <c s="502"/>
      <c s="1157">
        <v>11</v>
      </c>
    </row>
    <row r="55" spans="1:61" ht="11.55" customHeight="1">
      <c r="A55" s="1365" t="s">
        <v>261</v>
      </c>
      <c s="1365"/>
      <c s="1365"/>
      <c s="1365"/>
      <c s="2261"/>
      <c s="2261"/>
      <c s="2261"/>
      <c s="2261"/>
      <c s="2288"/>
      <c s="2288"/>
      <c s="2258"/>
      <c s="1366"/>
      <c r="P55" s="2259"/>
      <c s="2259"/>
      <c s="359"/>
      <c s="2344"/>
      <c s="2363"/>
      <c s="302"/>
      <c s="1395"/>
      <c s="1498"/>
      <c s="1395"/>
      <c s="1498"/>
      <c s="1395"/>
      <c s="1395"/>
      <c s="1395"/>
      <c s="1395"/>
      <c s="2188"/>
      <c s="2328"/>
      <c s="2207"/>
      <c s="2365"/>
      <c s="2109"/>
      <c s="296"/>
      <c s="417"/>
      <c s="315" t="s">
        <v>504</v>
      </c>
      <c s="1395"/>
      <c s="1395"/>
      <c s="1395"/>
      <c s="1395"/>
      <c s="1395"/>
      <c s="1395"/>
      <c s="1395"/>
      <c s="1395"/>
      <c s="1395"/>
      <c s="1498"/>
      <c s="1395"/>
      <c s="1498"/>
      <c s="1395"/>
      <c s="1395"/>
      <c s="1395"/>
      <c s="1395"/>
      <c s="1399"/>
      <c s="2256"/>
      <c r="BE55" s="502"/>
      <c s="502"/>
      <c s="502"/>
      <c s="502"/>
      <c s="1157">
        <v>11</v>
      </c>
    </row>
    <row r="56" spans="1:61" ht="11.55" customHeight="1">
      <c r="A56" s="1365" t="s">
        <v>261</v>
      </c>
      <c s="1365" t="s">
        <v>262</v>
      </c>
      <c s="1365" t="s">
        <v>263</v>
      </c>
      <c s="1365" t="s">
        <v>544</v>
      </c>
      <c s="2261"/>
      <c s="2261"/>
      <c s="2261"/>
      <c s="2261"/>
      <c s="2288"/>
      <c s="2288"/>
      <c s="2258"/>
      <c s="1366"/>
      <c r="P56" s="2259"/>
      <c s="2259"/>
      <c s="359"/>
      <c s="2345"/>
      <c s="2364"/>
      <c s="302"/>
      <c s="1395"/>
      <c s="1396" t="str">
        <f>Z52&amp;"-"&amp;AB52</f>
        <v>-</v>
      </c>
      <c s="1395"/>
      <c s="1396" t="str">
        <f>AB52&amp;"-"&amp;AD52</f>
        <v>-да</v>
      </c>
      <c s="1395"/>
      <c s="1395"/>
      <c s="1395"/>
      <c s="1395"/>
      <c s="2114"/>
      <c s="314"/>
      <c s="316"/>
      <c s="418" t="s">
        <v>505</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261</v>
      </c>
      <c s="1365" t="s">
        <v>262</v>
      </c>
      <c s="1365" t="s">
        <v>263</v>
      </c>
      <c s="1365" t="s">
        <v>544</v>
      </c>
      <c s="2261"/>
      <c s="2261"/>
      <c s="2261"/>
      <c s="2261"/>
      <c s="2288"/>
      <c s="2258"/>
      <c s="1365"/>
      <c s="1366"/>
      <c r="P57" s="2259"/>
      <c s="2259"/>
      <c s="358"/>
      <c s="1280"/>
      <c s="289" t="s">
        <v>468</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261</v>
      </c>
      <c s="1345" t="s">
        <v>262</v>
      </c>
      <c s="1345" t="s">
        <v>263</v>
      </c>
      <c s="1345" t="s">
        <v>544</v>
      </c>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261</v>
      </c>
      <c s="1345" t="s">
        <v>262</v>
      </c>
      <c s="1345" t="s">
        <v>263</v>
      </c>
      <c s="1345" t="s">
        <v>544</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261</v>
      </c>
      <c s="1345" t="s">
        <v>262</v>
      </c>
      <c s="1345" t="s">
        <v>263</v>
      </c>
      <c s="1316"/>
      <c s="2261"/>
      <c s="2261"/>
      <c s="2260"/>
      <c s="1316"/>
      <c s="1316"/>
      <c s="1316"/>
      <c s="1316"/>
      <c s="149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261</v>
      </c>
      <c s="1345" t="s">
        <v>262</v>
      </c>
      <c s="1316"/>
      <c s="1316"/>
      <c s="2261"/>
      <c s="2260"/>
      <c s="1316"/>
      <c s="1316"/>
      <c s="1316"/>
      <c s="1316"/>
      <c s="1316"/>
      <c s="1496"/>
      <c s="1323"/>
      <c s="1323"/>
      <c r="P61" s="1318"/>
      <c s="1319"/>
      <c s="1318"/>
      <c s="1324"/>
      <c s="1327" t="s">
        <v>415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261</v>
      </c>
      <c s="1345"/>
      <c s="1345"/>
      <c s="1345"/>
      <c s="2260"/>
      <c s="1345"/>
      <c s="1345"/>
      <c s="1345"/>
      <c s="1345"/>
      <c s="1345"/>
      <c s="1345"/>
      <c s="1348"/>
      <c s="1323"/>
      <c s="1323"/>
      <c s="520"/>
      <c s="382"/>
      <c s="1346"/>
      <c s="382"/>
      <c s="1324"/>
      <c s="1327" t="s">
        <v>416</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96"/>
      <c s="1323"/>
      <c s="1323"/>
      <c r="P63" s="1318"/>
      <c s="1319"/>
      <c s="1318"/>
      <c s="1324"/>
      <c s="1327" t="s">
        <v>448</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9.95"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19</v>
      </c>
    </row>
    <row r="66" spans="15:61" ht="14.7" customHeight="1">
      <c r="O66" s="539"/>
      <c r="T66"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r="BI66" s="1157">
        <v>14</v>
      </c>
    </row>
    <row r="67" spans="15:61" ht="19.95"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19</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80">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89D0C4-08C1-D64C-9612-0.58162FF4}" mc:Ignorable="x14ac xr xr2 xr3">
  <sheetPr>
    <tabColor theme="9" tint="-0.249980002641678"/>
  </sheetPr>
  <dimension ref="A1:AF303"/>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4" style="1637" customWidth="1"/>
    <col min="7" max="7" width="10" style="1637" customWidth="1"/>
    <col min="8" max="8" width="40.7142857142857" style="1637" hidden="1" customWidth="1"/>
    <col min="9" max="9" width="40.7142857142857" style="1637" customWidth="1"/>
    <col min="10" max="10" width="102" style="1637" customWidth="1"/>
    <col min="11" max="11" width="9" style="1368" customWidth="1"/>
    <col min="12" max="12" width="5" style="1644" customWidth="1"/>
    <col min="13" max="13" width="3" style="1644" customWidth="1"/>
    <col min="14" max="17" width="3" style="1368" customWidth="1"/>
    <col min="18" max="18" width="10" style="1644" customWidth="1"/>
    <col min="19" max="19" width="34" style="1368" customWidth="1"/>
    <col min="20" max="20" width="9" style="1368" customWidth="1"/>
    <col min="21" max="21" width="8" style="738" customWidth="1"/>
    <col min="22" max="26" width="8" style="1368" customWidth="1"/>
    <col min="27" max="31" width="8" style="1634" customWidth="1"/>
    <col min="32" max="32" width="9.14285714285714" style="1637" hidden="1"/>
  </cols>
  <sheetData>
    <row r="1" spans="32:32" ht="22.5" customHeight="1" hidden="1">
      <c r="AF1" s="1633" t="s">
        <v>14</v>
      </c>
    </row>
    <row r="2" spans="2:32" ht="23.25" customHeight="1" hidden="1">
      <c r="B2" s="2101"/>
      <c s="1169" t="s">
        <v>545</v>
      </c>
      <c s="1640"/>
      <c s="548">
        <f>B2</f>
        <v>0</v>
      </c>
      <c s="549"/>
      <c s="1648" t="s">
        <v>546</v>
      </c>
      <c s="1648" t="s">
        <v>546</v>
      </c>
      <c s="1648" t="s">
        <v>546</v>
      </c>
      <c s="291" t="s">
        <v>547</v>
      </c>
      <c s="545"/>
      <c r="AF2" s="1633">
        <v>0</v>
      </c>
    </row>
    <row r="3" spans="2:32" s="1644" customFormat="1" ht="0.75" customHeight="1" hidden="1">
      <c r="B3" s="2101"/>
      <c s="1169"/>
      <c s="550"/>
      <c s="551"/>
      <c s="552" t="s">
        <v>548</v>
      </c>
      <c s="553"/>
      <c s="553">
        <f>H4*H5+H7</f>
        <v>0</v>
      </c>
      <c s="553">
        <f>I4*I5+I6</f>
        <v>0</v>
      </c>
      <c s="554"/>
      <c r="AF3" s="1638">
        <v>0</v>
      </c>
    </row>
    <row r="4" spans="2:32" ht="23.25" customHeight="1" hidden="1">
      <c r="B4" s="2101"/>
      <c s="1169"/>
      <c s="1640"/>
      <c s="548" t="str">
        <f>B2&amp;".1"</f>
        <v>.1</v>
      </c>
      <c s="555" t="s">
        <v>549</v>
      </c>
      <c s="556"/>
      <c s="543"/>
      <c s="543"/>
      <c s="291" t="s">
        <v>550</v>
      </c>
      <c s="545"/>
      <c r="AF4" s="1633">
        <v>0</v>
      </c>
    </row>
    <row r="5" spans="2:32" ht="18.75" customHeight="1" hidden="1">
      <c r="B5" s="2101"/>
      <c s="1169"/>
      <c s="1640"/>
      <c s="548" t="str">
        <f>B2&amp;".2"</f>
        <v>.2</v>
      </c>
      <c s="555" t="s">
        <v>551</v>
      </c>
      <c s="1648" t="s">
        <v>552</v>
      </c>
      <c s="543"/>
      <c s="543"/>
      <c s="291"/>
      <c s="545"/>
      <c r="AF5" s="1633">
        <v>0</v>
      </c>
    </row>
    <row r="6" spans="2:32" ht="18.75" customHeight="1" hidden="1">
      <c r="B6" s="2101"/>
      <c s="1169"/>
      <c s="1640"/>
      <c s="548" t="str">
        <f>B2&amp;".3"</f>
        <v>.3</v>
      </c>
      <c s="555" t="s">
        <v>553</v>
      </c>
      <c s="1648" t="s">
        <v>552</v>
      </c>
      <c s="543"/>
      <c s="543"/>
      <c s="291"/>
      <c s="545"/>
      <c r="AF6" s="1633">
        <v>0</v>
      </c>
    </row>
    <row r="7" spans="2:32" ht="18.75" customHeight="1" hidden="1">
      <c r="B7" s="2101"/>
      <c s="1169"/>
      <c s="1640"/>
      <c s="548" t="str">
        <f>B2&amp;".4"</f>
        <v>.4</v>
      </c>
      <c s="555" t="s">
        <v>554</v>
      </c>
      <c s="1648" t="s">
        <v>546</v>
      </c>
      <c s="557"/>
      <c s="557"/>
      <c s="291"/>
      <c s="545"/>
      <c r="AF7" s="1633">
        <v>0</v>
      </c>
    </row>
    <row r="8" spans="1:32" s="1368" customFormat="1" ht="11.25" customHeight="1" hidden="1">
      <c r="A8" s="989"/>
      <c r="C8" s="1638"/>
      <c s="539"/>
      <c r="H8" s="1162">
        <v>4</v>
      </c>
      <c s="1162">
        <v>4</v>
      </c>
      <c r="L8" s="1638"/>
      <c s="1638"/>
      <c r="R8" s="1638"/>
      <c r="AF8" s="1162">
        <v>0</v>
      </c>
    </row>
    <row r="9" spans="1:32" s="1368" customFormat="1" ht="22.5" customHeight="1" hidden="1">
      <c r="A9" s="989"/>
      <c r="C9" s="1638"/>
      <c s="540"/>
      <c s="1650"/>
      <c s="542"/>
      <c s="1648" t="s">
        <v>552</v>
      </c>
      <c s="543"/>
      <c s="543"/>
      <c s="544" t="s">
        <v>555</v>
      </c>
      <c s="545"/>
      <c s="1638"/>
      <c s="1638"/>
      <c r="R9" s="1638"/>
      <c r="U9" s="546"/>
      <c r="AA9" s="1634"/>
      <c s="1634"/>
      <c s="1634"/>
      <c s="1634"/>
      <c s="1634"/>
      <c s="1162">
        <v>0</v>
      </c>
    </row>
    <row r="10" spans="32:32" ht="11.25" customHeight="1" hidden="1">
      <c r="AF10" s="1633">
        <v>0</v>
      </c>
    </row>
    <row r="11" spans="4:32" ht="18.75" customHeight="1" hidden="1">
      <c r="D11" s="1640"/>
      <c s="548"/>
      <c s="542"/>
      <c s="1648" t="s">
        <v>556</v>
      </c>
      <c s="543"/>
      <c s="543"/>
      <c s="291" t="s">
        <v>557</v>
      </c>
      <c s="545"/>
      <c r="AF11" s="1633">
        <v>0</v>
      </c>
    </row>
    <row r="12" spans="32:32" ht="11.25" customHeight="1" hidden="1">
      <c r="AF12" s="1633">
        <v>0</v>
      </c>
    </row>
    <row r="13" spans="4:32" ht="22.5" customHeight="1" hidden="1">
      <c r="D13" s="1640"/>
      <c s="548"/>
      <c s="542"/>
      <c s="971" t="s">
        <v>558</v>
      </c>
      <c s="547"/>
      <c s="547"/>
      <c s="747" t="s">
        <v>559</v>
      </c>
      <c s="545"/>
      <c r="AF13" s="1633">
        <v>0</v>
      </c>
    </row>
    <row r="14" spans="32:32" ht="11.25" customHeight="1" hidden="1">
      <c r="AF14" s="1633">
        <v>0</v>
      </c>
    </row>
    <row r="15" spans="4:32" ht="22.5" customHeight="1" hidden="1">
      <c r="D15" s="1640"/>
      <c s="548"/>
      <c s="542"/>
      <c s="1648" t="s">
        <v>560</v>
      </c>
      <c s="547"/>
      <c s="547"/>
      <c s="291" t="s">
        <v>561</v>
      </c>
      <c s="545"/>
      <c r="AF15" s="1633">
        <v>0</v>
      </c>
    </row>
    <row r="16" spans="32:32" ht="11.25" customHeight="1" hidden="1">
      <c r="AF16" s="1633">
        <v>0</v>
      </c>
    </row>
    <row r="17" spans="4:32" ht="22.5" customHeight="1" hidden="1">
      <c r="D17" s="1640"/>
      <c s="548"/>
      <c s="542"/>
      <c s="1648" t="s">
        <v>562</v>
      </c>
      <c s="547"/>
      <c s="547"/>
      <c s="291" t="s">
        <v>563</v>
      </c>
      <c s="545"/>
      <c r="AF17" s="1633">
        <v>0</v>
      </c>
    </row>
    <row r="18" spans="32:32" ht="11.25" customHeight="1" hidden="1">
      <c r="AF18" s="1633">
        <v>0</v>
      </c>
    </row>
    <row r="19" spans="1:32" s="1634" customFormat="1" ht="11.25" customHeight="1" hidden="1">
      <c r="A19" s="989"/>
      <c s="1162"/>
      <c s="1638"/>
      <c s="364"/>
      <c r="J19" s="1634">
        <v>4</v>
      </c>
      <c s="1162"/>
      <c s="1638"/>
      <c s="1638"/>
      <c s="1162"/>
      <c s="1162"/>
      <c s="1162"/>
      <c s="1162"/>
      <c s="1638"/>
      <c s="1162"/>
      <c s="1162"/>
      <c s="546"/>
      <c s="1162"/>
      <c s="1162"/>
      <c s="1162"/>
      <c s="1162"/>
      <c s="1162"/>
      <c r="AF19" s="1634">
        <v>0</v>
      </c>
    </row>
    <row r="20" spans="32:32" ht="11.55" customHeight="1">
      <c r="AF20" s="1633">
        <v>11</v>
      </c>
    </row>
    <row r="21" spans="5:32" ht="25.2" customHeight="1">
      <c r="E21" s="2250"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2250"/>
      <c s="2250"/>
      <c s="2250"/>
      <c s="2250"/>
      <c s="558"/>
      <c r="AF21" s="1633">
        <v>24</v>
      </c>
    </row>
    <row r="22" spans="5:32" ht="25.2" customHeight="1">
      <c r="E22" s="2251" t="str">
        <f>IF(org=0,"Не определено",org)</f>
        <v>ГУП КК "Кубаньводкомплекс"</v>
      </c>
      <c s="2251"/>
      <c s="2251"/>
      <c s="2251"/>
      <c s="2251"/>
      <c r="AF22" s="1633">
        <v>24</v>
      </c>
    </row>
    <row r="23" spans="5:32" ht="11.55" customHeight="1">
      <c r="E23" s="1137"/>
      <c s="1137"/>
      <c s="1137"/>
      <c s="1137"/>
      <c s="1137"/>
      <c r="AF23" s="1633">
        <v>11</v>
      </c>
    </row>
    <row r="24" spans="1:32" s="1644" customFormat="1" ht="1.05" customHeight="1">
      <c r="A24" s="1169"/>
      <c r="D24" s="1644"/>
      <c r="H24" s="891"/>
      <c s="891" t="s">
        <v>118</v>
      </c>
      <c r="AF24" s="1638">
        <v>1</v>
      </c>
    </row>
    <row r="25" spans="5:32" ht="11.55" customHeight="1">
      <c r="E25" s="713"/>
      <c s="2369" t="s">
        <v>105</v>
      </c>
      <c s="2370"/>
      <c s="1654" t="str">
        <f>IF(H24="","",INDEX(DIFFERENTIATION_UNMERGE_VD,MATCH(H24,DIFFERENTIATION_ID_DIFF,0)))</f>
        <v/>
      </c>
      <c s="1654" t="str">
        <f>IF(I24="","",INDEX(DIFFERENTIATION_UNMERGE_VD,MATCH(I24,DIFFERENTIATION_ID_DIFF,0)))</f>
        <v>Водоотведение; Транспортировка; Подключение (технологическое присоединение) к централизованной системе водоотведения</v>
      </c>
      <c s="2129"/>
      <c r="AF25" s="1633">
        <v>11</v>
      </c>
    </row>
    <row r="26" spans="5:32" ht="11.55" customHeight="1">
      <c r="E26" s="713"/>
      <c s="2369" t="s">
        <v>564</v>
      </c>
      <c s="2370"/>
      <c s="1654" t="str">
        <f>IF(H24="","",INDEX(DIFFERENTIATION_UNMERGE_AREA,MATCH(H24,DIFFERENTIATION_ID_DIFF,0)))</f>
        <v/>
      </c>
      <c s="1654" t="str">
        <f>IF(I24="","",INDEX(DIFFERENTIATION_UNMERGE_AREA,MATCH(I24,DIFFERENTIATION_ID_DIFF,0)))</f>
        <v>Территория 1</v>
      </c>
      <c s="2129"/>
      <c r="AF26" s="1633">
        <v>11</v>
      </c>
    </row>
    <row r="27" spans="5:32" ht="11.55" customHeight="1">
      <c r="E27" s="713"/>
      <c s="2369" t="s">
        <v>565</v>
      </c>
      <c s="2370"/>
      <c s="1654" t="str">
        <f>IF(H24="","",INDEX(DIFFERENTIATION_UNMERGE_SYSTEM,MATCH(H24,DIFFERENTIATION_ID_DIFF,0)))</f>
        <v/>
      </c>
      <c s="1654" t="str">
        <f>IF(I24="","",INDEX(DIFFERENTIATION_UNMERGE_SYSTEM,MATCH(I24,DIFFERENTIATION_ID_DIFF,0)))</f>
        <v>Ейский групповой водопровод (разводящие сети водоотведения)</v>
      </c>
      <c s="2129"/>
      <c r="AF27" s="1633">
        <v>11</v>
      </c>
    </row>
    <row r="28" spans="5:32" ht="11.55" customHeight="1">
      <c r="E28" s="2371" t="s">
        <v>300</v>
      </c>
      <c s="2372"/>
      <c s="2372"/>
      <c s="1647"/>
      <c s="1647"/>
      <c s="2129"/>
      <c r="AF28" s="1633">
        <v>11</v>
      </c>
    </row>
    <row r="29" spans="5:32" ht="24" customHeight="1">
      <c r="E29" s="1648" t="s">
        <v>87</v>
      </c>
      <c s="1655" t="s">
        <v>302</v>
      </c>
      <c s="1655" t="s">
        <v>566</v>
      </c>
      <c s="1655" t="s">
        <v>303</v>
      </c>
      <c s="1655" t="s">
        <v>303</v>
      </c>
      <c s="2129"/>
      <c r="AF29" s="1633">
        <v>23</v>
      </c>
    </row>
    <row r="30" spans="4:32" ht="19.95" customHeight="1">
      <c r="D30" s="1640"/>
      <c s="548">
        <f>FHD_NUM_P_1</f>
        <v>1</v>
      </c>
      <c s="1882" t="str">
        <f>FHD_P_1</f>
        <v>Выручка от регулируемых видов деятельности в сфере водоотведения</v>
      </c>
      <c s="1880" t="s">
        <v>552</v>
      </c>
      <c s="559"/>
      <c s="559"/>
      <c s="291" t="str">
        <f>FHD_NOTE_P_1</f>
        <v>Указывается выручка с распределением по видам деятельности.</v>
      </c>
      <c s="545"/>
      <c r="AF30" s="1633">
        <v>19</v>
      </c>
    </row>
    <row r="31" spans="4:32" ht="11.55" customHeight="1">
      <c r="D31" s="1640"/>
      <c s="548">
        <f>FHD_NUM_P_2</f>
        <v>2</v>
      </c>
      <c s="1882" t="str">
        <f>FHD_P_2</f>
        <v>Себестоимость производимых товаров (оказываемых услуг) по регулируемым видам деятельности в сфере водоотведения, включая:</v>
      </c>
      <c s="1880" t="s">
        <v>552</v>
      </c>
      <c s="560">
        <f>SUMIF($K33:$K71,$K31,H33:H71)</f>
        <v>0</v>
      </c>
      <c s="560">
        <f>SUMIF($K33:$K71,$K31,I33:I71)</f>
        <v>0</v>
      </c>
      <c s="291" t="str">
        <f>FHD_NOTE_P_2</f>
        <v>Указывается суммарная себестоимость производимых товаров.</v>
      </c>
      <c s="1638" t="s">
        <v>567</v>
      </c>
      <c r="AF31" s="1633">
        <v>11</v>
      </c>
    </row>
    <row r="32" spans="4:32" ht="11.55" customHeight="1">
      <c r="D32" s="1640"/>
      <c s="548" t="str">
        <f>FHD_NUM_P_3</f>
        <v>2.1</v>
      </c>
      <c s="1526" t="str">
        <f>FHD_P_3</f>
        <v>Расходы на оплату услуг по приему, транспортировке и очистке сточных вод другими организациями</v>
      </c>
      <c s="1880" t="s">
        <v>552</v>
      </c>
      <c s="559"/>
      <c s="559"/>
      <c s="291" t="str">
        <f>FHD_NOTE_P_3</f>
        <v/>
      </c>
      <c s="1638" t="str">
        <f>IF((LEN(E32)-LEN(SUBSTITUTE(E32,".","")))/LEN(".")=1,"p","")</f>
        <v>p</v>
      </c>
      <c r="AF32" s="1633">
        <v>11</v>
      </c>
    </row>
    <row r="33" spans="1:32" ht="11.25" customHeight="1" hidden="1">
      <c r="A33" s="2373" t="s">
        <v>568</v>
      </c>
      <c r="D33" s="1640"/>
      <c s="548" t="str">
        <f>FHD_NUM_P_4</f>
        <v/>
      </c>
      <c s="1526" t="str">
        <f>FHD_P_4</f>
        <v/>
      </c>
      <c s="1880" t="s">
        <v>552</v>
      </c>
      <c s="560">
        <f>SUMIF($F34:$F40,$F3,H34:H40)</f>
        <v>0</v>
      </c>
      <c s="560">
        <f>SUMIF($F34:$F40,$F3,I34:I40)</f>
        <v>0</v>
      </c>
      <c s="291" t="str">
        <f>FHD_NOTE_P_4</f>
        <v/>
      </c>
      <c s="1638" t="str">
        <f>IF((LEN(E33)-LEN(SUBSTITUTE(E33,".","")))/LEN(".")=1,"p","")</f>
        <v/>
      </c>
      <c r="AF33" s="1633">
        <v>0</v>
      </c>
    </row>
    <row r="34" spans="1:32" s="1643" customFormat="1" ht="0.75" customHeight="1" hidden="1">
      <c r="A34" s="2373"/>
      <c s="2374" t="str">
        <f>E33&amp;".0"</f>
        <v>.0</v>
      </c>
      <c s="1169"/>
      <c s="562"/>
      <c s="563"/>
      <c s="564"/>
      <c s="565"/>
      <c s="499"/>
      <c s="499"/>
      <c s="566"/>
      <c s="1638" t="str">
        <f>IF((LEN(E34)-LEN(SUBSTITUTE(E34,".","")))/LEN(".")=1,"p","")</f>
        <v/>
      </c>
      <c s="1638"/>
      <c s="1638"/>
      <c s="1638"/>
      <c s="1638"/>
      <c s="1638"/>
      <c s="1638"/>
      <c s="1638"/>
      <c s="1638"/>
      <c s="1638"/>
      <c s="567"/>
      <c s="1638"/>
      <c s="1638"/>
      <c s="1638"/>
      <c s="1638"/>
      <c s="1638"/>
      <c s="568"/>
      <c s="568"/>
      <c s="568"/>
      <c s="568"/>
      <c s="568"/>
      <c s="1643">
        <v>0</v>
      </c>
    </row>
    <row r="35" spans="1:32" s="1643" customFormat="1" ht="0.75" customHeight="1" hidden="1">
      <c r="A35" s="2373"/>
      <c s="2374"/>
      <c s="1169"/>
      <c s="562"/>
      <c s="569"/>
      <c s="570"/>
      <c s="565"/>
      <c s="571"/>
      <c s="571"/>
      <c s="566"/>
      <c s="1638" t="str">
        <f>IF((LEN(E35)-LEN(SUBSTITUTE(E35,".","")))/LEN(".")=1,"p","")</f>
        <v/>
      </c>
      <c s="1638"/>
      <c s="1638"/>
      <c s="1638"/>
      <c s="1638"/>
      <c s="1638"/>
      <c s="1638"/>
      <c s="1638"/>
      <c s="1638"/>
      <c s="1638"/>
      <c s="567"/>
      <c s="1638"/>
      <c s="1638"/>
      <c s="1638"/>
      <c s="1638"/>
      <c s="1638"/>
      <c s="568"/>
      <c s="568"/>
      <c s="568"/>
      <c s="568"/>
      <c s="568"/>
      <c s="1643">
        <v>0</v>
      </c>
    </row>
    <row r="36" spans="1:32" s="1643" customFormat="1" ht="0.75" customHeight="1" hidden="1">
      <c r="A36" s="2373"/>
      <c s="2374"/>
      <c s="1169"/>
      <c s="562"/>
      <c s="569"/>
      <c s="570"/>
      <c s="565"/>
      <c s="571"/>
      <c s="571"/>
      <c s="566"/>
      <c s="1638" t="str">
        <f>IF((LEN(E36)-LEN(SUBSTITUTE(E36,".","")))/LEN(".")=1,"p","")</f>
        <v/>
      </c>
      <c s="1638"/>
      <c s="1638"/>
      <c s="1638"/>
      <c s="1638"/>
      <c s="1638"/>
      <c s="1638"/>
      <c s="1638"/>
      <c s="1638"/>
      <c s="1638"/>
      <c s="567"/>
      <c s="1638"/>
      <c s="1638"/>
      <c s="1638"/>
      <c s="1638"/>
      <c s="1638"/>
      <c s="568"/>
      <c s="568"/>
      <c s="568"/>
      <c s="568"/>
      <c s="568"/>
      <c s="1643">
        <v>0</v>
      </c>
    </row>
    <row r="37" spans="1:32" s="1643" customFormat="1" ht="0.75" customHeight="1" hidden="1">
      <c r="A37" s="2373"/>
      <c s="2374"/>
      <c s="1169"/>
      <c s="562"/>
      <c s="569"/>
      <c s="570"/>
      <c s="565"/>
      <c s="571"/>
      <c s="571"/>
      <c s="566"/>
      <c s="1638" t="str">
        <f>IF((LEN(E37)-LEN(SUBSTITUTE(E37,".","")))/LEN(".")=1,"p","")</f>
        <v/>
      </c>
      <c s="1638"/>
      <c s="1638"/>
      <c s="1638"/>
      <c s="1638"/>
      <c s="1638"/>
      <c s="1638"/>
      <c s="1638"/>
      <c s="1638"/>
      <c s="1638"/>
      <c s="567"/>
      <c s="1638"/>
      <c s="1638"/>
      <c s="1638"/>
      <c s="1638"/>
      <c s="1638"/>
      <c s="568"/>
      <c s="568"/>
      <c s="568"/>
      <c s="568"/>
      <c s="568"/>
      <c s="1643">
        <v>0</v>
      </c>
    </row>
    <row r="38" spans="1:32" s="1643" customFormat="1" ht="0.75" customHeight="1" hidden="1">
      <c r="A38" s="2373"/>
      <c s="2374"/>
      <c s="1169"/>
      <c s="562"/>
      <c s="569"/>
      <c s="570"/>
      <c s="565"/>
      <c s="571"/>
      <c s="571"/>
      <c s="566"/>
      <c s="1638" t="str">
        <f>IF((LEN(E38)-LEN(SUBSTITUTE(E38,".","")))/LEN(".")=1,"p","")</f>
        <v/>
      </c>
      <c s="1638"/>
      <c s="1638"/>
      <c s="1638"/>
      <c s="1638"/>
      <c s="1638"/>
      <c s="1638"/>
      <c s="1638"/>
      <c s="1638"/>
      <c s="1638"/>
      <c s="567"/>
      <c s="1638"/>
      <c s="1638"/>
      <c s="1638"/>
      <c s="1638"/>
      <c s="1638"/>
      <c s="568"/>
      <c s="568"/>
      <c s="568"/>
      <c s="568"/>
      <c s="568"/>
      <c s="1643">
        <v>0</v>
      </c>
    </row>
    <row r="39" spans="1:32" s="1643" customFormat="1" ht="0.75" customHeight="1" hidden="1">
      <c r="A39" s="2373"/>
      <c s="2374"/>
      <c s="1169"/>
      <c s="562"/>
      <c s="569"/>
      <c s="570"/>
      <c s="565"/>
      <c s="499"/>
      <c s="499"/>
      <c s="566"/>
      <c s="1638" t="str">
        <f>IF((LEN(E39)-LEN(SUBSTITUTE(E39,".","")))/LEN(".")=1,"p","")</f>
        <v/>
      </c>
      <c s="1638"/>
      <c s="1638"/>
      <c s="1638"/>
      <c s="1638"/>
      <c s="1638"/>
      <c s="1638"/>
      <c s="1638"/>
      <c s="1638"/>
      <c s="1638"/>
      <c s="567"/>
      <c s="1638"/>
      <c s="1638"/>
      <c s="1638"/>
      <c s="1638"/>
      <c s="1638"/>
      <c s="568"/>
      <c s="568"/>
      <c s="568"/>
      <c s="568"/>
      <c s="568"/>
      <c s="1643">
        <v>0</v>
      </c>
    </row>
    <row r="40" spans="1:32" s="1368" customFormat="1" ht="15" customHeight="1" hidden="1">
      <c r="A40" s="2373"/>
      <c r="C40" s="1638"/>
      <c s="1635"/>
      <c s="572"/>
      <c s="573" t="s">
        <v>569</v>
      </c>
      <c s="574"/>
      <c s="575"/>
      <c s="575"/>
      <c s="303"/>
      <c s="1638" t="str">
        <f>IF((LEN(E40)-LEN(SUBSTITUTE(E40,".","")))/LEN(".")=1,"p","")</f>
        <v/>
      </c>
      <c s="1638"/>
      <c s="1638"/>
      <c r="R40" s="1638"/>
      <c r="U40" s="546"/>
      <c r="AA40" s="1634"/>
      <c s="1634"/>
      <c s="1634"/>
      <c s="1634"/>
      <c s="1634"/>
      <c s="1162">
        <v>0</v>
      </c>
    </row>
    <row r="41" spans="1:32" ht="11.25" customHeight="1" hidden="1">
      <c r="A41" s="2373" t="s">
        <v>570</v>
      </c>
      <c r="D41" s="1640"/>
      <c s="548" t="str">
        <f>FHD_NUM_P_5</f>
        <v/>
      </c>
      <c s="1526" t="str">
        <f>FHD_P_5</f>
        <v/>
      </c>
      <c s="1880" t="s">
        <v>552</v>
      </c>
      <c s="559"/>
      <c s="559"/>
      <c s="291" t="str">
        <f>FHD_NOTE_P_5</f>
        <v/>
      </c>
      <c s="1638" t="str">
        <f>IF((LEN(E41)-LEN(SUBSTITUTE(E41,".","")))/LEN(".")=1,"p","")</f>
        <v/>
      </c>
      <c r="AF41" s="1633">
        <v>0</v>
      </c>
    </row>
    <row r="42" spans="1:32" ht="11.25" customHeight="1" hidden="1">
      <c r="A42" s="2373"/>
      <c r="D42" s="1640"/>
      <c s="548" t="str">
        <f>FHD_NUM_P_6</f>
        <v/>
      </c>
      <c s="1526" t="str">
        <f>FHD_P_6</f>
        <v/>
      </c>
      <c s="1880" t="s">
        <v>552</v>
      </c>
      <c s="559"/>
      <c s="559"/>
      <c s="291" t="str">
        <f>FHD_NOTE_P_6</f>
        <v/>
      </c>
      <c s="1638" t="str">
        <f>IF((LEN(E42)-LEN(SUBSTITUTE(E42,".","")))/LEN(".")=1,"p","")</f>
        <v/>
      </c>
      <c r="AF42" s="1633">
        <v>0</v>
      </c>
    </row>
    <row r="43" spans="1:32" ht="11.25" customHeight="1" hidden="1">
      <c r="A43" s="2373"/>
      <c r="D43" s="1640"/>
      <c s="548" t="str">
        <f>FHD_NUM_P_7</f>
        <v/>
      </c>
      <c s="1526" t="str">
        <f>FHD_P_7</f>
        <v/>
      </c>
      <c s="1880" t="s">
        <v>552</v>
      </c>
      <c s="559"/>
      <c s="559"/>
      <c s="291" t="str">
        <f>FHD_NOTE_P_7</f>
        <v/>
      </c>
      <c s="1638" t="str">
        <f>IF((LEN(E43)-LEN(SUBSTITUTE(E43,".","")))/LEN(".")=1,"p","")</f>
        <v/>
      </c>
      <c r="AF43" s="1633">
        <v>0</v>
      </c>
    </row>
    <row r="44" spans="4:32" ht="11.55" customHeight="1">
      <c r="D44" s="1640"/>
      <c s="548" t="str">
        <f>FHD_NUM_P_8</f>
        <v>2.2</v>
      </c>
      <c s="1526" t="str">
        <f>FHD_P_8</f>
        <v>Расходы на приобретаемую электрическую энергию (мощность), используемую в технологическом процессе</v>
      </c>
      <c s="1880" t="s">
        <v>552</v>
      </c>
      <c s="559"/>
      <c s="559"/>
      <c s="291" t="str">
        <f>FHD_NOTE_P_8</f>
        <v/>
      </c>
      <c s="1638" t="str">
        <f>IF((LEN(E44)-LEN(SUBSTITUTE(E44,".","")))/LEN(".")=1,"p","")</f>
        <v>p</v>
      </c>
      <c r="AF44" s="1633">
        <v>11</v>
      </c>
    </row>
    <row r="45" spans="4:32" ht="11.55" customHeight="1">
      <c r="D45" s="1640"/>
      <c s="548" t="str">
        <f>FHD_NUM_P_9</f>
        <v>2.2.1</v>
      </c>
      <c s="1652" t="str">
        <f>FHD_P_9</f>
        <v>Средневзвешенная стоимость 1 кВт.ч (с учетом мощности)</v>
      </c>
      <c s="1880" t="s">
        <v>571</v>
      </c>
      <c s="559"/>
      <c s="559"/>
      <c s="291" t="str">
        <f>FHD_NOTE_P_9</f>
        <v/>
      </c>
      <c s="1638" t="str">
        <f>IF((LEN(E45)-LEN(SUBSTITUTE(E45,".","")))/LEN(".")=1,"p","")</f>
        <v/>
      </c>
      <c r="AF45" s="1633">
        <v>11</v>
      </c>
    </row>
    <row r="46" spans="1:32" s="1368" customFormat="1" ht="11.55" customHeight="1">
      <c r="A46" s="989"/>
      <c r="C46" s="1638"/>
      <c s="576"/>
      <c s="548" t="str">
        <f>FHD_NUM_P_10</f>
        <v>2.2.2</v>
      </c>
      <c s="1652" t="str">
        <f>FHD_P_10</f>
        <v>Объём приобретения электрической энергии</v>
      </c>
      <c s="1880" t="s">
        <v>572</v>
      </c>
      <c s="559"/>
      <c s="559"/>
      <c s="291" t="str">
        <f>FHD_NOTE_P_10</f>
        <v/>
      </c>
      <c s="1638" t="str">
        <f>IF((LEN(E46)-LEN(SUBSTITUTE(E46,".","")))/LEN(".")=1,"p","")</f>
        <v/>
      </c>
      <c s="1638"/>
      <c s="1638"/>
      <c r="R46" s="1638"/>
      <c r="U46" s="546"/>
      <c r="AA46" s="1634"/>
      <c s="1634"/>
      <c s="1634"/>
      <c s="1634"/>
      <c s="1634"/>
      <c s="1162">
        <v>11</v>
      </c>
    </row>
    <row r="47" spans="1:32" s="1368" customFormat="1" ht="11.25" customHeight="1" hidden="1">
      <c r="A47" s="991" t="s">
        <v>573</v>
      </c>
      <c r="C47" s="1638"/>
      <c s="577"/>
      <c s="548" t="str">
        <f>FHD_NUM_P_11</f>
        <v/>
      </c>
      <c s="1526" t="str">
        <f>FHD_P_11</f>
        <v/>
      </c>
      <c s="1880" t="s">
        <v>552</v>
      </c>
      <c s="559"/>
      <c s="559"/>
      <c s="291" t="str">
        <f>FHD_NOTE_P_11</f>
        <v/>
      </c>
      <c s="1638" t="str">
        <f>IF((LEN(E47)-LEN(SUBSTITUTE(E47,".","")))/LEN(".")=1,"p","")</f>
        <v/>
      </c>
      <c s="1638"/>
      <c s="1638"/>
      <c r="R47" s="1638"/>
      <c r="U47" s="546"/>
      <c r="AA47" s="1634"/>
      <c s="1634"/>
      <c s="1634"/>
      <c s="1634"/>
      <c s="1634"/>
      <c s="1162">
        <v>0</v>
      </c>
    </row>
    <row r="48" spans="1:32" s="1368" customFormat="1" ht="18.75" customHeight="1">
      <c r="A48" s="991" t="s">
        <v>574</v>
      </c>
      <c r="C48" s="1638"/>
      <c s="1640"/>
      <c s="548" t="str">
        <f>FHD_NUM_P_12</f>
        <v>2.3</v>
      </c>
      <c s="1526" t="str">
        <f>FHD_P_12</f>
        <v>Расходы на химические реагенты, используемые в технологическом процессе</v>
      </c>
      <c s="1880" t="s">
        <v>552</v>
      </c>
      <c s="579"/>
      <c s="579"/>
      <c s="291" t="str">
        <f>FHD_NOTE_P_12</f>
        <v/>
      </c>
      <c s="1638" t="str">
        <f>IF((LEN(E48)-LEN(SUBSTITUTE(E48,".","")))/LEN(".")=1,"p","")</f>
        <v>p</v>
      </c>
      <c s="1638"/>
      <c s="1638"/>
      <c r="R48" s="1638"/>
      <c r="U48" s="546"/>
      <c r="AA48" s="1634"/>
      <c s="1634"/>
      <c s="1634"/>
      <c s="1634"/>
      <c s="1634"/>
      <c s="1162">
        <v>18</v>
      </c>
    </row>
    <row r="49" spans="1:32" s="1367" customFormat="1" ht="11.55" customHeight="1">
      <c r="A49" s="990"/>
      <c r="C49" s="732"/>
      <c s="675"/>
      <c s="548" t="str">
        <f>FHD_NUM_P_13</f>
        <v>2.4</v>
      </c>
      <c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80" t="s">
        <v>552</v>
      </c>
      <c s="559"/>
      <c s="559"/>
      <c s="291" t="str">
        <f>FHD_NOTE_P_13</f>
        <v>Указывается общая сумма расходов на оплату труда и отчислений на социальные нужды основного производственного персонала.</v>
      </c>
      <c s="1638" t="str">
        <f>IF((LEN(E49)-LEN(SUBSTITUTE(E49,".","")))/LEN(".")=1,"p","")</f>
        <v>p</v>
      </c>
      <c s="732"/>
      <c s="732"/>
      <c r="R49" s="732"/>
      <c r="U49" s="733"/>
      <c r="AA49" s="734"/>
      <c s="734"/>
      <c s="734"/>
      <c s="734"/>
      <c s="734"/>
      <c s="731">
        <v>11</v>
      </c>
    </row>
    <row r="50" spans="1:32" s="1367" customFormat="1" ht="11.55" customHeight="1">
      <c r="A50" s="990"/>
      <c r="C50" s="732"/>
      <c s="675"/>
      <c s="548" t="str">
        <f>FHD_NUM_P_14</f>
        <v>2.4.1</v>
      </c>
      <c s="1652" t="str">
        <f>FHD_P_14</f>
        <v>Расходы на оплату труда основного производственного персонала</v>
      </c>
      <c s="1880" t="s">
        <v>552</v>
      </c>
      <c s="559"/>
      <c s="559"/>
      <c s="291" t="str">
        <f>FHD_NOTE_P_14</f>
        <v/>
      </c>
      <c s="1638" t="str">
        <f>IF((LEN(E50)-LEN(SUBSTITUTE(E50,".","")))/LEN(".")=1,"p","")</f>
        <v/>
      </c>
      <c s="732"/>
      <c s="732"/>
      <c r="R50" s="732"/>
      <c r="U50" s="733"/>
      <c r="AA50" s="734"/>
      <c s="734"/>
      <c s="734"/>
      <c s="734"/>
      <c s="734"/>
      <c s="731">
        <v>11</v>
      </c>
    </row>
    <row r="51" spans="1:32" s="1367" customFormat="1" ht="11.55" customHeight="1">
      <c r="A51" s="990"/>
      <c r="C51" s="732"/>
      <c s="675"/>
      <c s="548" t="str">
        <f>FHD_NUM_P_15</f>
        <v>2.4.2</v>
      </c>
      <c s="1652" t="str">
        <f>FHD_P_15</f>
        <v>Страховые взносы на обязательное социальное страхование, выплачиваемые из фонда оплаты труда основного производственного персонала</v>
      </c>
      <c s="1880" t="s">
        <v>552</v>
      </c>
      <c s="559"/>
      <c s="559"/>
      <c s="291" t="str">
        <f>FHD_NOTE_P_15</f>
        <v/>
      </c>
      <c s="1638" t="str">
        <f>IF((LEN(E51)-LEN(SUBSTITUTE(E51,".","")))/LEN(".")=1,"p","")</f>
        <v/>
      </c>
      <c s="732"/>
      <c s="732"/>
      <c r="R51" s="732"/>
      <c r="U51" s="733"/>
      <c r="AA51" s="734"/>
      <c s="734"/>
      <c s="734"/>
      <c s="734"/>
      <c s="734"/>
      <c s="731">
        <v>11</v>
      </c>
    </row>
    <row r="52" spans="1:32" s="1368" customFormat="1" ht="11.55" customHeight="1">
      <c r="A52" s="989"/>
      <c r="C52" s="1638"/>
      <c s="1640"/>
      <c s="548" t="str">
        <f>FHD_NUM_P_16</f>
        <v>2.5</v>
      </c>
      <c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880" t="s">
        <v>552</v>
      </c>
      <c s="559"/>
      <c s="559"/>
      <c s="291" t="str">
        <f>FHD_NOTE_P_16</f>
        <v>Указывается общая сумма расходов на оплату труда и отчислений на социальные нужды административно-управленческого персонала.</v>
      </c>
      <c s="1638" t="str">
        <f>IF((LEN(E52)-LEN(SUBSTITUTE(E52,".","")))/LEN(".")=1,"p","")</f>
        <v>p</v>
      </c>
      <c s="1638"/>
      <c s="1644"/>
      <c s="539"/>
      <c s="539"/>
      <c r="R52" s="1638"/>
      <c r="U52" s="546"/>
      <c r="AA52" s="1634"/>
      <c s="1634"/>
      <c s="1634"/>
      <c s="1634"/>
      <c s="1634"/>
      <c s="1162">
        <v>11</v>
      </c>
    </row>
    <row r="53" spans="1:32" s="1368" customFormat="1" ht="11.55" customHeight="1">
      <c r="A53" s="989"/>
      <c r="C53" s="1638"/>
      <c s="1640"/>
      <c s="548" t="str">
        <f>FHD_NUM_P_17</f>
        <v>2.5.1</v>
      </c>
      <c s="1652" t="str">
        <f>FHD_P_17</f>
        <v>Расходы на оплату труда административно-управленческого персонала, в том числе:</v>
      </c>
      <c s="1880" t="s">
        <v>552</v>
      </c>
      <c s="559"/>
      <c s="559"/>
      <c s="291" t="str">
        <f>FHD_NOTE_P_17</f>
        <v/>
      </c>
      <c s="1638" t="str">
        <f>IF((LEN(E53)-LEN(SUBSTITUTE(E53,".","")))/LEN(".")=1,"p","")</f>
        <v/>
      </c>
      <c s="1638"/>
      <c s="1644"/>
      <c s="539"/>
      <c s="539"/>
      <c r="R53" s="1638"/>
      <c r="U53" s="546"/>
      <c r="AA53" s="1634"/>
      <c s="1634"/>
      <c s="1634"/>
      <c s="1634"/>
      <c s="1634"/>
      <c s="1162">
        <v>11</v>
      </c>
    </row>
    <row r="54" spans="1:32" s="1368" customFormat="1" ht="11.55" customHeight="1">
      <c r="A54" s="989"/>
      <c r="C54" s="1638"/>
      <c s="1640"/>
      <c s="548" t="str">
        <f>FHD_NUM_P_18</f>
        <v>2.5.2</v>
      </c>
      <c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s="1880" t="s">
        <v>552</v>
      </c>
      <c s="559"/>
      <c s="559"/>
      <c s="291" t="str">
        <f>FHD_NOTE_P_18</f>
        <v/>
      </c>
      <c s="1638" t="str">
        <f>IF((LEN(E54)-LEN(SUBSTITUTE(E54,".","")))/LEN(".")=1,"p","")</f>
        <v/>
      </c>
      <c s="1638"/>
      <c s="1644"/>
      <c s="539"/>
      <c s="539"/>
      <c r="R54" s="1638"/>
      <c r="U54" s="546"/>
      <c r="AA54" s="1634"/>
      <c s="1634"/>
      <c s="1634"/>
      <c s="1634"/>
      <c s="1634"/>
      <c s="1162">
        <v>11</v>
      </c>
    </row>
    <row r="55" spans="1:32" s="1368" customFormat="1" ht="11.55" customHeight="1">
      <c r="A55" s="989"/>
      <c r="C55" s="1638"/>
      <c s="577"/>
      <c s="548" t="str">
        <f>FHD_NUM_P_19</f>
        <v>2.6</v>
      </c>
      <c s="1526" t="str">
        <f>FHD_P_19</f>
        <v>Расходы на амортизацию основных средств и нематериальных активов</v>
      </c>
      <c s="1880" t="s">
        <v>552</v>
      </c>
      <c s="559"/>
      <c s="559"/>
      <c s="291" t="str">
        <f>FHD_NOTE_P_19</f>
        <v/>
      </c>
      <c s="1638" t="str">
        <f>IF((LEN(E55)-LEN(SUBSTITUTE(E55,".","")))/LEN(".")=1,"p","")</f>
        <v>p</v>
      </c>
      <c s="1638"/>
      <c s="1638"/>
      <c r="R55" s="1638"/>
      <c r="U55" s="546"/>
      <c r="AA55" s="1634"/>
      <c s="1634"/>
      <c s="1634"/>
      <c s="1634"/>
      <c s="1634"/>
      <c s="1162">
        <v>11</v>
      </c>
    </row>
    <row r="56" spans="1:32" s="1368" customFormat="1" ht="11.55" customHeight="1">
      <c r="A56" s="989"/>
      <c r="C56" s="1638"/>
      <c s="577"/>
      <c s="548" t="str">
        <f>FHD_NUM_P_20</f>
        <v>2.6.1</v>
      </c>
      <c s="1652" t="str">
        <f>FHD_P_20</f>
        <v>Расходы на амортизацию основных средств</v>
      </c>
      <c s="1880" t="s">
        <v>552</v>
      </c>
      <c s="559"/>
      <c s="559"/>
      <c s="291" t="str">
        <f>FHD_NOTE_P_20</f>
        <v/>
      </c>
      <c s="1638" t="str">
        <f>IF((LEN(E56)-LEN(SUBSTITUTE(E56,".","")))/LEN(".")=1,"p","")</f>
        <v/>
      </c>
      <c s="1638"/>
      <c s="1638"/>
      <c r="R56" s="1638"/>
      <c r="U56" s="546"/>
      <c r="AA56" s="1634"/>
      <c s="1634"/>
      <c s="1634"/>
      <c s="1634"/>
      <c s="1634"/>
      <c s="1162">
        <v>11</v>
      </c>
    </row>
    <row r="57" spans="1:32" s="1368" customFormat="1" ht="11.55" customHeight="1">
      <c r="A57" s="989"/>
      <c r="C57" s="1638"/>
      <c s="577"/>
      <c s="548" t="str">
        <f>FHD_NUM_P_21</f>
        <v>2.6.2</v>
      </c>
      <c s="1652" t="str">
        <f>FHD_P_21</f>
        <v>Расходы на амортизацию нематериальных активов</v>
      </c>
      <c s="1880" t="s">
        <v>552</v>
      </c>
      <c s="559"/>
      <c s="559"/>
      <c s="291" t="str">
        <f>FHD_NOTE_P_21</f>
        <v/>
      </c>
      <c s="1638" t="str">
        <f>IF((LEN(E57)-LEN(SUBSTITUTE(E57,".","")))/LEN(".")=1,"p","")</f>
        <v/>
      </c>
      <c s="1638"/>
      <c s="1638"/>
      <c r="R57" s="1638"/>
      <c r="U57" s="546"/>
      <c r="AA57" s="1634"/>
      <c s="1634"/>
      <c s="1634"/>
      <c s="1634"/>
      <c s="1634"/>
      <c s="1162">
        <v>11</v>
      </c>
    </row>
    <row r="58" spans="1:32" s="1368" customFormat="1" ht="11.55" customHeight="1">
      <c r="A58" s="989"/>
      <c r="C58" s="1638"/>
      <c s="1640"/>
      <c s="548" t="str">
        <f>FHD_NUM_P_22</f>
        <v>2.7</v>
      </c>
      <c s="1526" t="str">
        <f>FHD_P_22</f>
        <v>Расходы на аренду имущества, используемого для осуществления регулируемых видов деятельности в сфере водоотведения</v>
      </c>
      <c s="1880" t="s">
        <v>552</v>
      </c>
      <c s="559"/>
      <c s="559"/>
      <c s="291" t="str">
        <f>FHD_NOTE_P_22</f>
        <v/>
      </c>
      <c s="1638" t="str">
        <f>IF((LEN(E58)-LEN(SUBSTITUTE(E58,".","")))/LEN(".")=1,"p","")</f>
        <v>p</v>
      </c>
      <c s="1638"/>
      <c s="1638"/>
      <c r="R58" s="1638"/>
      <c r="U58" s="546"/>
      <c r="AA58" s="1634"/>
      <c s="1634"/>
      <c s="1634"/>
      <c s="1634"/>
      <c s="1634"/>
      <c s="1162">
        <v>11</v>
      </c>
    </row>
    <row r="59" spans="1:32" s="1368" customFormat="1" ht="11.55" customHeight="1">
      <c r="A59" s="989"/>
      <c r="C59" s="1638"/>
      <c s="577"/>
      <c s="548" t="str">
        <f>FHD_NUM_P_23</f>
        <v>2.8</v>
      </c>
      <c s="1526" t="str">
        <f>FHD_P_23</f>
        <v>Общепроизводственные расходы, в том числе:</v>
      </c>
      <c s="1880" t="s">
        <v>552</v>
      </c>
      <c s="559"/>
      <c s="559"/>
      <c s="291" t="str">
        <f>FHD_NOTE_P_23</f>
        <v>Указывается общая сумма общепроизводственных расходов.</v>
      </c>
      <c s="1638" t="str">
        <f>IF((LEN(E59)-LEN(SUBSTITUTE(E59,".","")))/LEN(".")=1,"p","")</f>
        <v>p</v>
      </c>
      <c s="1638"/>
      <c s="1638"/>
      <c r="R59" s="1638"/>
      <c r="U59" s="546"/>
      <c r="AA59" s="1634"/>
      <c s="1634"/>
      <c s="1634"/>
      <c s="1634"/>
      <c s="1634"/>
      <c s="1162">
        <v>11</v>
      </c>
    </row>
    <row r="60" spans="1:32" s="1368" customFormat="1" ht="11.55" customHeight="1">
      <c r="A60" s="989"/>
      <c r="C60" s="1638"/>
      <c s="577"/>
      <c s="548" t="str">
        <f>FHD_NUM_P_24</f>
        <v>2.8.1</v>
      </c>
      <c s="1652" t="str">
        <f>FHD_P_24</f>
        <v>Расходы на текущий ремонт</v>
      </c>
      <c s="1880" t="s">
        <v>552</v>
      </c>
      <c s="559"/>
      <c s="559"/>
      <c s="291" t="str">
        <f>FHD_NOTE_P_24</f>
        <v>Указываются расходы на текущий ремонт, отнесенные к общепроизводственным расходам.</v>
      </c>
      <c s="1638" t="str">
        <f>IF((LEN(E60)-LEN(SUBSTITUTE(E60,".","")))/LEN(".")=1,"p","")</f>
        <v/>
      </c>
      <c s="1638"/>
      <c s="1638"/>
      <c r="R60" s="1638"/>
      <c r="U60" s="546"/>
      <c r="AA60" s="1634"/>
      <c s="1634"/>
      <c s="1634"/>
      <c s="1634"/>
      <c s="1634"/>
      <c s="1162">
        <v>11</v>
      </c>
    </row>
    <row r="61" spans="1:32" s="1368" customFormat="1" ht="11.55" customHeight="1">
      <c r="A61" s="989"/>
      <c r="C61" s="1638"/>
      <c s="577"/>
      <c s="548" t="str">
        <f>FHD_NUM_P_25</f>
        <v>2.8.2</v>
      </c>
      <c s="1652" t="str">
        <f>FHD_P_25</f>
        <v>Расходы на капитальный ремонт</v>
      </c>
      <c s="1880" t="s">
        <v>552</v>
      </c>
      <c s="559"/>
      <c s="559"/>
      <c s="291" t="str">
        <f>FHD_NOTE_P_25</f>
        <v>Указываются расходы на капитальный ремонт, отнесенные к общепроизводственным расходам.</v>
      </c>
      <c s="1638" t="str">
        <f>IF((LEN(E61)-LEN(SUBSTITUTE(E61,".","")))/LEN(".")=1,"p","")</f>
        <v/>
      </c>
      <c s="1638"/>
      <c s="1638"/>
      <c r="R61" s="1638"/>
      <c r="U61" s="546"/>
      <c r="AA61" s="1634"/>
      <c s="1634"/>
      <c s="1634"/>
      <c s="1634"/>
      <c s="1634"/>
      <c s="1162">
        <v>11</v>
      </c>
    </row>
    <row r="62" spans="1:32" s="1368" customFormat="1" ht="11.55" customHeight="1">
      <c r="A62" s="989"/>
      <c r="C62" s="1638"/>
      <c s="1640"/>
      <c s="548" t="str">
        <f>FHD_NUM_P_26</f>
        <v>2.9</v>
      </c>
      <c s="1526" t="str">
        <f>FHD_P_26</f>
        <v>Общехозяйственные расходы, в том числе:</v>
      </c>
      <c s="1880" t="s">
        <v>552</v>
      </c>
      <c s="559"/>
      <c s="559"/>
      <c s="291" t="str">
        <f>FHD_NOTE_P_26</f>
        <v>Указывается общая сумма общехозяйственных расходов.</v>
      </c>
      <c s="1638" t="str">
        <f>IF((LEN(E62)-LEN(SUBSTITUTE(E62,".","")))/LEN(".")=1,"p","")</f>
        <v>p</v>
      </c>
      <c s="1638"/>
      <c s="1638"/>
      <c r="R62" s="1638"/>
      <c r="U62" s="546"/>
      <c r="AA62" s="1634"/>
      <c s="1634"/>
      <c s="1634"/>
      <c s="1634"/>
      <c s="1634"/>
      <c s="1162">
        <v>11</v>
      </c>
    </row>
    <row r="63" spans="1:32" s="1368" customFormat="1" ht="11.55" customHeight="1">
      <c r="A63" s="989"/>
      <c r="C63" s="1638"/>
      <c s="1640"/>
      <c s="548" t="str">
        <f>FHD_NUM_P_27</f>
        <v>2.9.1</v>
      </c>
      <c s="1652" t="str">
        <f>FHD_P_27</f>
        <v>Расходы на текущий ремонт</v>
      </c>
      <c s="1880" t="s">
        <v>552</v>
      </c>
      <c s="559"/>
      <c s="559"/>
      <c s="291" t="str">
        <f>FHD_NOTE_P_27</f>
        <v>Указываются расходы на текущий ремонт, отнесенные к общехозяйственным расходам.</v>
      </c>
      <c s="1638" t="str">
        <f>IF((LEN(E63)-LEN(SUBSTITUTE(E63,".","")))/LEN(".")=1,"p","")</f>
        <v/>
      </c>
      <c s="1638"/>
      <c s="1638"/>
      <c r="R63" s="1638"/>
      <c r="U63" s="546"/>
      <c r="AA63" s="1634"/>
      <c s="1634"/>
      <c s="1634"/>
      <c s="1634"/>
      <c s="1634"/>
      <c s="1162">
        <v>11</v>
      </c>
    </row>
    <row r="64" spans="1:32" s="1368" customFormat="1" ht="11.55" customHeight="1">
      <c r="A64" s="989"/>
      <c r="C64" s="1638"/>
      <c s="1640"/>
      <c s="548" t="str">
        <f>FHD_NUM_P_28</f>
        <v>2.9.2</v>
      </c>
      <c s="1652" t="str">
        <f>FHD_P_28</f>
        <v>Расходы на капитальный ремонт</v>
      </c>
      <c s="1880" t="s">
        <v>552</v>
      </c>
      <c s="559"/>
      <c s="559"/>
      <c s="291" t="str">
        <f>FHD_NOTE_P_28</f>
        <v>Указываются расходы на капитальный ремонт, отнесенные к общехозяйственным расходам.</v>
      </c>
      <c s="1638" t="str">
        <f>IF((LEN(E64)-LEN(SUBSTITUTE(E64,".","")))/LEN(".")=1,"p","")</f>
        <v/>
      </c>
      <c s="1638"/>
      <c s="1638"/>
      <c r="R64" s="1638"/>
      <c r="U64" s="546"/>
      <c r="AA64" s="1634"/>
      <c s="1634"/>
      <c s="1634"/>
      <c s="1634"/>
      <c s="1634"/>
      <c s="1162">
        <v>11</v>
      </c>
    </row>
    <row r="65" spans="1:32" s="1368" customFormat="1" ht="11.55" customHeight="1">
      <c r="A65" s="989"/>
      <c r="C65" s="1638"/>
      <c s="1640"/>
      <c s="548" t="str">
        <f>FHD_NUM_P_29</f>
        <v>2.10</v>
      </c>
      <c s="1526" t="str">
        <f>FHD_P_29</f>
        <v>Расходы на капитальный и текущий ремонт основных средств</v>
      </c>
      <c s="1880" t="s">
        <v>552</v>
      </c>
      <c s="559"/>
      <c s="559"/>
      <c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8" t="str">
        <f>IF((LEN(E65)-LEN(SUBSTITUTE(E65,".","")))/LEN(".")=1,"p","")</f>
        <v>p</v>
      </c>
      <c s="1638"/>
      <c s="1638"/>
      <c r="R65" s="1638"/>
      <c r="U65" s="546"/>
      <c r="AA65" s="1634"/>
      <c s="1634"/>
      <c s="1634"/>
      <c s="1634"/>
      <c s="1634"/>
      <c s="1162">
        <v>11</v>
      </c>
    </row>
    <row r="66" spans="1:32" s="1368" customFormat="1" ht="11.55" customHeight="1">
      <c r="A66" s="989"/>
      <c r="C66" s="1638"/>
      <c s="1640"/>
      <c s="548" t="str">
        <f>FHD_NUM_P_30</f>
        <v>2.10.1</v>
      </c>
      <c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0" t="s">
        <v>306</v>
      </c>
      <c s="1651" t="s">
        <v>575</v>
      </c>
      <c s="1651" t="s">
        <v>575</v>
      </c>
      <c s="291" t="str">
        <f>FHD_NOTE_P_30</f>
        <v/>
      </c>
      <c s="1638" t="str">
        <f>IF((LEN(E66)-LEN(SUBSTITUTE(E66,".","")))/LEN(".")=1,"p","")</f>
        <v/>
      </c>
      <c s="1638">
        <f>IFERROR(MATCH("есть",B_FHD_FLAG_INDEX_1,0),0)</f>
        <v>0</v>
      </c>
      <c s="1638"/>
      <c r="R66" s="1638"/>
      <c r="U66" s="546"/>
      <c r="AA66" s="1634"/>
      <c s="1634"/>
      <c s="1634"/>
      <c s="1634"/>
      <c s="1634"/>
      <c s="1162">
        <v>11</v>
      </c>
    </row>
    <row r="67" spans="1:32" s="1368" customFormat="1" ht="23.25" customHeight="1">
      <c r="A67" s="2373" t="s">
        <v>576</v>
      </c>
      <c r="C67" s="1638"/>
      <c s="1640"/>
      <c s="548" t="str">
        <f>FHD_NUM_P_31</f>
        <v>2.11</v>
      </c>
      <c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80" t="s">
        <v>552</v>
      </c>
      <c s="559"/>
      <c s="559"/>
      <c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8" t="str">
        <f>IF((LEN(E67)-LEN(SUBSTITUTE(E67,".","")))/LEN(".")=1,"p","")</f>
        <v>p</v>
      </c>
      <c s="1638"/>
      <c s="1638"/>
      <c r="R67" s="1638"/>
      <c r="U67" s="546"/>
      <c r="AA67" s="1634"/>
      <c s="1634"/>
      <c s="1634"/>
      <c s="1634"/>
      <c s="1634"/>
      <c s="1162">
        <v>22</v>
      </c>
    </row>
    <row r="68" spans="1:32" s="1368" customFormat="1" ht="47.25" customHeight="1">
      <c r="A68" s="2373"/>
      <c r="C68" s="1638"/>
      <c s="1640"/>
      <c s="548" t="str">
        <f>FHD_NUM_P_32</f>
        <v>2.11.1</v>
      </c>
      <c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0" t="s">
        <v>306</v>
      </c>
      <c s="1651" t="s">
        <v>575</v>
      </c>
      <c s="1651" t="s">
        <v>575</v>
      </c>
      <c s="291" t="str">
        <f>FHD_NOTE_P_32</f>
        <v/>
      </c>
      <c s="1638" t="str">
        <f>IF((LEN(E68)-LEN(SUBSTITUTE(E68,".","")))/LEN(".")=1,"p","")</f>
        <v/>
      </c>
      <c s="1638">
        <f>IFERROR(MATCH("есть",B_FHD_FLAG_INDEX_2,0),0)</f>
        <v>0</v>
      </c>
      <c s="1638"/>
      <c r="R68" s="1638"/>
      <c r="U68" s="546"/>
      <c r="AA68" s="1634"/>
      <c s="1634"/>
      <c s="1634"/>
      <c s="1634"/>
      <c s="1634"/>
      <c s="1162">
        <v>45</v>
      </c>
    </row>
    <row r="69" spans="1:32" s="1368" customFormat="1" ht="11.55" customHeight="1">
      <c r="A69" s="989"/>
      <c r="C69" s="1638"/>
      <c s="1640"/>
      <c s="548" t="str">
        <f>FHD_NUM_P_33</f>
        <v>2.12</v>
      </c>
      <c s="1526"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881" t="s">
        <v>552</v>
      </c>
      <c s="581">
        <f>SUM(H70:H71)</f>
        <v>0</v>
      </c>
      <c s="581">
        <f>SUM(I70:I71)</f>
        <v>0</v>
      </c>
      <c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8" t="str">
        <f>IF((LEN(E69)-LEN(SUBSTITUTE(E69,".","")))/LEN(".")=1,"p","")</f>
        <v>p</v>
      </c>
      <c s="1638"/>
      <c s="1638"/>
      <c r="R69" s="1638"/>
      <c r="U69" s="546"/>
      <c r="AA69" s="1634"/>
      <c s="1634"/>
      <c s="1634"/>
      <c s="1634"/>
      <c s="1634"/>
      <c s="1162">
        <v>11</v>
      </c>
    </row>
    <row r="70" spans="1:32" s="1644" customFormat="1" ht="1.05" customHeight="1">
      <c r="A70" s="1169"/>
      <c r="D70" s="550"/>
      <c s="1015" t="str">
        <f>E69&amp;".0"</f>
        <v>2.12.0</v>
      </c>
      <c s="993"/>
      <c s="1015"/>
      <c s="994"/>
      <c s="994"/>
      <c s="995"/>
      <c s="1638" t="str">
        <f>IF((LEN(E70)-LEN(SUBSTITUTE(E70,".","")))/LEN(".")=1,"p","")</f>
        <v/>
      </c>
      <c r="AF70" s="1638">
        <v>1</v>
      </c>
    </row>
    <row r="71" spans="1:32" s="1368" customFormat="1" ht="14.7" customHeight="1">
      <c r="A71" s="989"/>
      <c r="C71" s="1638"/>
      <c s="1635"/>
      <c s="572"/>
      <c s="573" t="s">
        <v>577</v>
      </c>
      <c s="574"/>
      <c s="575"/>
      <c s="575"/>
      <c s="303"/>
      <c s="1638"/>
      <c s="1638"/>
      <c s="1638"/>
      <c r="R71" s="1638"/>
      <c r="U71" s="546"/>
      <c r="AA71" s="1634"/>
      <c s="1634"/>
      <c s="1634"/>
      <c s="1634"/>
      <c s="1634"/>
      <c s="1162">
        <v>14</v>
      </c>
    </row>
    <row r="72" spans="1:32" s="1368" customFormat="1" ht="18.75" customHeight="1" hidden="1">
      <c r="A72" s="991" t="s">
        <v>578</v>
      </c>
      <c r="C72" s="1638"/>
      <c s="1640"/>
      <c s="548" t="str">
        <f>FHD_NUM_P_34</f>
        <v/>
      </c>
      <c s="1882" t="str">
        <f>FHD_P_34</f>
        <v/>
      </c>
      <c s="1880" t="s">
        <v>552</v>
      </c>
      <c s="559"/>
      <c s="559"/>
      <c s="291" t="str">
        <f>FHD_NOTE_P_34</f>
        <v/>
      </c>
      <c s="545"/>
      <c s="1638"/>
      <c s="1638"/>
      <c r="R72" s="1638"/>
      <c r="U72" s="546"/>
      <c r="AA72" s="1634"/>
      <c s="1634"/>
      <c s="1634"/>
      <c s="1634"/>
      <c s="1634"/>
      <c s="1162">
        <v>0</v>
      </c>
    </row>
    <row r="73" spans="1:32" s="1368" customFormat="1" ht="19.95" customHeight="1">
      <c r="A73" s="989"/>
      <c r="C73" s="1638"/>
      <c s="577"/>
      <c s="548" t="str">
        <f>FHD_NUM_P_35</f>
        <v>3</v>
      </c>
      <c s="1882" t="str">
        <f>FHD_P_35</f>
        <v>Чистая прибыль, полученная от регулируемого вида деятельности в сфере водоотведения, в том числе:</v>
      </c>
      <c s="1880" t="s">
        <v>552</v>
      </c>
      <c s="559"/>
      <c s="559"/>
      <c s="291" t="str">
        <f>FHD_NOTE_P_35</f>
        <v>Указывается общая сумма чистой прибыли, полученной от регулируемого вида деятельности.</v>
      </c>
      <c s="545"/>
      <c s="1638"/>
      <c s="1638"/>
      <c r="R73" s="1638"/>
      <c r="U73" s="546"/>
      <c r="AA73" s="1634"/>
      <c s="1634"/>
      <c s="1634"/>
      <c s="1634"/>
      <c s="1634"/>
      <c s="1162">
        <v>19</v>
      </c>
    </row>
    <row r="74" spans="1:32" s="1368" customFormat="1" ht="19.95" customHeight="1">
      <c r="A74" s="989"/>
      <c r="C74" s="1638"/>
      <c s="1640"/>
      <c s="548" t="str">
        <f>FHD_NUM_P_36</f>
        <v>3.1</v>
      </c>
      <c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s="1880" t="s">
        <v>552</v>
      </c>
      <c s="559"/>
      <c s="559"/>
      <c s="291" t="str">
        <f>FHD_NOTE_P_36</f>
        <v/>
      </c>
      <c s="545"/>
      <c s="1638"/>
      <c s="1638"/>
      <c r="R74" s="1638"/>
      <c r="U74" s="546"/>
      <c r="AA74" s="1634"/>
      <c s="1634"/>
      <c s="1634"/>
      <c s="1634"/>
      <c s="1634"/>
      <c s="1162">
        <v>19</v>
      </c>
    </row>
    <row r="75" spans="1:32" s="1368" customFormat="1" ht="19.95" customHeight="1">
      <c r="A75" s="989"/>
      <c r="C75" s="1638"/>
      <c s="1640"/>
      <c s="548" t="str">
        <f>FHD_NUM_P_37</f>
        <v>4</v>
      </c>
      <c s="1882" t="str">
        <f>FHD_P_37</f>
        <v>Изменение стоимости основных фондов, в том числе:</v>
      </c>
      <c s="1880" t="s">
        <v>552</v>
      </c>
      <c s="559"/>
      <c s="559"/>
      <c s="291" t="str">
        <f>FHD_NOTE_P_37</f>
        <v>Указывается общее изменение стоимости основных фондов.</v>
      </c>
      <c s="545"/>
      <c s="1638"/>
      <c s="1638"/>
      <c r="R75" s="1638"/>
      <c r="U75" s="546"/>
      <c r="AA75" s="1634"/>
      <c s="1634"/>
      <c s="1634"/>
      <c s="1634"/>
      <c s="1634"/>
      <c s="1162">
        <v>19</v>
      </c>
    </row>
    <row r="76" spans="1:32" s="1368" customFormat="1" ht="19.95" customHeight="1">
      <c r="A76" s="989"/>
      <c r="C76" s="1638"/>
      <c s="1640"/>
      <c s="548" t="str">
        <f>FHD_NUM_P_38</f>
        <v>4.1</v>
      </c>
      <c s="1526" t="str">
        <f>FHD_P_38</f>
        <v>Изменение стоимости основных фондов за счет их ввода в эксплуатацию (вывода из эксплуатации)</v>
      </c>
      <c s="1880" t="s">
        <v>552</v>
      </c>
      <c s="559"/>
      <c s="559"/>
      <c s="291" t="str">
        <f>FHD_NOTE_P_38</f>
        <v>Указываются общее изменение стоимости основных фондов за счет их ввода в эксплуатацию и вывода из эксплуатации.</v>
      </c>
      <c s="545"/>
      <c s="1638"/>
      <c s="1638"/>
      <c r="R76" s="1638"/>
      <c r="U76" s="546"/>
      <c r="AA76" s="1634"/>
      <c s="1634"/>
      <c s="1634"/>
      <c s="1634"/>
      <c s="1634"/>
      <c s="1162">
        <v>19</v>
      </c>
    </row>
    <row r="77" spans="1:32" s="1368" customFormat="1" ht="19.95" customHeight="1">
      <c r="A77" s="989"/>
      <c r="C77" s="1638"/>
      <c s="1640"/>
      <c s="548" t="str">
        <f>FHD_NUM_P_39</f>
        <v>4.1.1</v>
      </c>
      <c s="1652" t="str">
        <f>FHD_P_39</f>
        <v>Изменение стоимости основных фондов за счет их ввода в эксплуатацию</v>
      </c>
      <c s="2074" t="s">
        <v>552</v>
      </c>
      <c s="559"/>
      <c s="559"/>
      <c s="291" t="str">
        <f>FHD_NOTE_P_39</f>
        <v>Указываются изменение стоимости основных фондов за счет их ввода в эксплуатацию.</v>
      </c>
      <c s="545"/>
      <c s="1638"/>
      <c s="1638"/>
      <c r="R77" s="1638"/>
      <c r="U77" s="546"/>
      <c r="AA77" s="1634"/>
      <c s="1634"/>
      <c s="1634"/>
      <c s="1634"/>
      <c s="1634"/>
      <c s="1162">
        <v>19</v>
      </c>
    </row>
    <row r="78" spans="1:32" s="1368" customFormat="1" ht="19.95" customHeight="1">
      <c r="A78" s="989"/>
      <c r="C78" s="1638"/>
      <c s="1640"/>
      <c s="548" t="str">
        <f>FHD_NUM_P_40</f>
        <v>4.1.2</v>
      </c>
      <c s="2078" t="str">
        <f>FHD_P_40</f>
        <v>Изменение стоимости основных фондов за счет их вывода в эксплуатацию</v>
      </c>
      <c s="2073" t="s">
        <v>552</v>
      </c>
      <c s="978"/>
      <c s="559"/>
      <c s="291" t="str">
        <f>FHD_NOTE_P_40</f>
        <v>Указываются изменение стоимости основных фондов за счет их вывода из эксплуатации.</v>
      </c>
      <c s="545"/>
      <c s="1638"/>
      <c s="1638"/>
      <c r="R78" s="1638"/>
      <c r="U78" s="546"/>
      <c r="AA78" s="1634"/>
      <c s="1634"/>
      <c s="1634"/>
      <c s="1634"/>
      <c s="1634"/>
      <c s="1162">
        <v>19</v>
      </c>
    </row>
    <row r="79" spans="1:32" s="1368" customFormat="1" ht="19.95" customHeight="1">
      <c r="A79" s="989"/>
      <c r="C79" s="1638"/>
      <c s="1640"/>
      <c s="548" t="str">
        <f>FHD_NUM_P_41</f>
        <v>4.2</v>
      </c>
      <c s="2077" t="str">
        <f>FHD_P_41</f>
        <v>Изменение стоимости основных фондов за счет их переоценки</v>
      </c>
      <c s="2073" t="s">
        <v>552</v>
      </c>
      <c s="978"/>
      <c s="559"/>
      <c s="291" t="str">
        <f>FHD_NOTE_P_41</f>
        <v/>
      </c>
      <c s="545"/>
      <c s="1638"/>
      <c s="1638"/>
      <c r="R79" s="1638"/>
      <c r="U79" s="546"/>
      <c r="AA79" s="1634"/>
      <c s="1634"/>
      <c s="1634"/>
      <c s="1634"/>
      <c s="1634"/>
      <c s="1162">
        <v>19</v>
      </c>
    </row>
    <row r="80" spans="1:32" s="1368" customFormat="1" ht="19.95" customHeight="1">
      <c r="A80" s="991" t="s">
        <v>579</v>
      </c>
      <c r="C80" s="1638"/>
      <c s="1640"/>
      <c s="548" t="str">
        <f>FHD_NUM_P_42</f>
        <v>5</v>
      </c>
      <c s="2075" t="str">
        <f>FHD_P_42</f>
        <v>Валовая прибыль (убытки) от продажи товаров и услуг по регулируемым видам деятельности в сфере водоотведения</v>
      </c>
      <c s="2073" t="s">
        <v>552</v>
      </c>
      <c s="978"/>
      <c s="559"/>
      <c s="291" t="str">
        <f>FHD_NOTE_P_42</f>
        <v/>
      </c>
      <c s="545"/>
      <c s="1638"/>
      <c s="1638"/>
      <c r="R80" s="1638"/>
      <c r="U80" s="546"/>
      <c r="AA80" s="1634"/>
      <c s="1634"/>
      <c s="1634"/>
      <c s="1634"/>
      <c s="1634"/>
      <c s="1162">
        <v>19</v>
      </c>
    </row>
    <row r="81" spans="1:32" s="1368" customFormat="1" ht="19.95" customHeight="1">
      <c r="A81" s="989"/>
      <c r="C81" s="1638"/>
      <c s="1640"/>
      <c s="548" t="str">
        <f>FHD_NUM_P_43</f>
        <v>6</v>
      </c>
      <c s="1882" t="str">
        <f>FHD_P_43</f>
        <v>Годовая бухгалтерская (финансовая) отчетность, включая бухгалтерский баланс и приложения к нему</v>
      </c>
      <c s="2076" t="s">
        <v>306</v>
      </c>
      <c s="1057"/>
      <c s="820"/>
      <c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5"/>
      <c s="1638"/>
      <c s="1638"/>
      <c r="R81" s="1638"/>
      <c r="U81" s="546"/>
      <c r="AA81" s="1634"/>
      <c s="1634"/>
      <c s="1634"/>
      <c s="1634"/>
      <c s="1634"/>
      <c s="1162">
        <v>19</v>
      </c>
    </row>
    <row r="82" spans="1:32" s="1368" customFormat="1" ht="18.75" customHeight="1" hidden="1">
      <c r="A82" s="2373" t="s">
        <v>580</v>
      </c>
      <c r="C82" s="737"/>
      <c s="735"/>
      <c s="548" t="str">
        <f>FHD_NUM_P_44</f>
        <v/>
      </c>
      <c s="1882" t="str">
        <f>FHD_P_44</f>
        <v/>
      </c>
      <c s="1883" t="s">
        <v>581</v>
      </c>
      <c s="979"/>
      <c s="579"/>
      <c s="291" t="str">
        <f>FHD_NOTE_P_44</f>
        <v/>
      </c>
      <c s="736"/>
      <c s="737"/>
      <c s="737"/>
      <c r="R82" s="737"/>
      <c r="U82" s="738"/>
      <c r="AA82" s="739"/>
      <c s="739"/>
      <c s="739"/>
      <c s="739"/>
      <c s="739"/>
      <c s="912">
        <v>0</v>
      </c>
    </row>
    <row r="83" spans="1:32" s="1368" customFormat="1" ht="18.75" customHeight="1" hidden="1">
      <c r="A83" s="2373"/>
      <c r="C83" s="737"/>
      <c s="735"/>
      <c s="548" t="str">
        <f>FHD_NUM_P_45</f>
        <v/>
      </c>
      <c s="1882" t="str">
        <f>FHD_P_45</f>
        <v/>
      </c>
      <c s="1883" t="s">
        <v>581</v>
      </c>
      <c s="979"/>
      <c s="579"/>
      <c s="291" t="str">
        <f>FHD_NOTE_P_45</f>
        <v/>
      </c>
      <c s="736"/>
      <c s="737"/>
      <c s="737"/>
      <c r="R83" s="737"/>
      <c r="U83" s="738"/>
      <c r="AA83" s="739"/>
      <c s="739"/>
      <c s="739"/>
      <c s="739"/>
      <c s="739"/>
      <c s="912">
        <v>0</v>
      </c>
    </row>
    <row r="84" spans="1:32" s="1368" customFormat="1" ht="18.75" customHeight="1" hidden="1">
      <c r="A84" s="2373"/>
      <c r="C84" s="737"/>
      <c s="740"/>
      <c s="548" t="str">
        <f>FHD_NUM_P_46</f>
        <v/>
      </c>
      <c s="1882" t="str">
        <f>FHD_P_46</f>
        <v/>
      </c>
      <c s="1883" t="s">
        <v>581</v>
      </c>
      <c s="979"/>
      <c s="579"/>
      <c s="291" t="str">
        <f>FHD_NOTE_P_46</f>
        <v/>
      </c>
      <c s="736"/>
      <c s="737"/>
      <c s="737"/>
      <c r="R84" s="737"/>
      <c r="U84" s="738"/>
      <c r="AA84" s="739"/>
      <c s="739"/>
      <c s="739"/>
      <c s="739"/>
      <c s="739"/>
      <c s="912">
        <v>0</v>
      </c>
    </row>
    <row r="85" spans="1:32" s="1368" customFormat="1" ht="18.75" customHeight="1" hidden="1">
      <c r="A85" s="2373"/>
      <c r="C85" s="737"/>
      <c s="735"/>
      <c s="548" t="str">
        <f>FHD_NUM_P_47</f>
        <v/>
      </c>
      <c s="1882" t="str">
        <f>FHD_P_47</f>
        <v/>
      </c>
      <c s="1883" t="s">
        <v>581</v>
      </c>
      <c s="979"/>
      <c s="579"/>
      <c s="291" t="str">
        <f>FHD_NOTE_P_47</f>
        <v/>
      </c>
      <c s="736"/>
      <c s="737"/>
      <c s="737"/>
      <c r="R85" s="737"/>
      <c r="U85" s="738"/>
      <c r="AA85" s="739"/>
      <c s="739"/>
      <c s="739"/>
      <c s="739"/>
      <c s="739"/>
      <c s="912">
        <v>0</v>
      </c>
    </row>
    <row r="86" spans="1:32" s="1637" customFormat="1" ht="18.75" customHeight="1" hidden="1">
      <c r="A86" s="2373"/>
      <c s="912"/>
      <c s="737"/>
      <c s="735"/>
      <c s="548" t="str">
        <f>FHD_NUM_P_48</f>
        <v/>
      </c>
      <c s="1882" t="str">
        <f>FHD_P_48</f>
        <v/>
      </c>
      <c s="1883" t="s">
        <v>581</v>
      </c>
      <c s="979"/>
      <c s="579"/>
      <c s="291" t="str">
        <f>FHD_NOTE_P_48</f>
        <v/>
      </c>
      <c s="736"/>
      <c s="737"/>
      <c s="737"/>
      <c s="912"/>
      <c s="912"/>
      <c s="912"/>
      <c s="912"/>
      <c s="737"/>
      <c s="912"/>
      <c s="912"/>
      <c s="738"/>
      <c s="912"/>
      <c s="912"/>
      <c s="912"/>
      <c s="912"/>
      <c s="912"/>
      <c s="739"/>
      <c s="739"/>
      <c s="739"/>
      <c s="739"/>
      <c s="739"/>
      <c s="741">
        <v>0</v>
      </c>
    </row>
    <row r="87" spans="1:32" s="1637" customFormat="1" ht="18.75" customHeight="1" hidden="1">
      <c r="A87" s="2373"/>
      <c s="912"/>
      <c s="737"/>
      <c s="735"/>
      <c s="548" t="str">
        <f>FHD_NUM_P_49</f>
        <v/>
      </c>
      <c s="1882" t="str">
        <f>FHD_P_49</f>
        <v/>
      </c>
      <c s="1883" t="s">
        <v>581</v>
      </c>
      <c s="980">
        <f>SUM(H88:H89)</f>
        <v>0</v>
      </c>
      <c s="751">
        <f>SUM(I88:I89)</f>
        <v>0</v>
      </c>
      <c s="291" t="str">
        <f>FHD_NOTE_P_49</f>
        <v/>
      </c>
      <c s="736"/>
      <c s="737"/>
      <c s="737"/>
      <c s="912"/>
      <c s="912"/>
      <c s="912"/>
      <c s="912"/>
      <c s="737"/>
      <c s="912"/>
      <c s="912"/>
      <c s="738"/>
      <c s="912"/>
      <c s="912"/>
      <c s="912"/>
      <c s="912"/>
      <c s="912"/>
      <c s="739"/>
      <c s="739"/>
      <c s="739"/>
      <c s="739"/>
      <c s="739"/>
      <c s="741">
        <v>0</v>
      </c>
    </row>
    <row r="88" spans="1:32" s="1637" customFormat="1" ht="18.75" customHeight="1" hidden="1">
      <c r="A88" s="2373"/>
      <c s="912"/>
      <c s="737"/>
      <c s="735"/>
      <c s="548" t="str">
        <f>FHD_NUM_P_50</f>
        <v/>
      </c>
      <c s="1882" t="str">
        <f>FHD_P_50</f>
        <v/>
      </c>
      <c s="1883" t="s">
        <v>581</v>
      </c>
      <c s="979"/>
      <c s="579"/>
      <c s="291" t="str">
        <f>FHD_NOTE_P_50</f>
        <v/>
      </c>
      <c s="736"/>
      <c s="737"/>
      <c s="737"/>
      <c s="912"/>
      <c s="912"/>
      <c s="912"/>
      <c s="912"/>
      <c s="737"/>
      <c s="912"/>
      <c s="912"/>
      <c s="738"/>
      <c s="912"/>
      <c s="912"/>
      <c s="912"/>
      <c s="912"/>
      <c s="912"/>
      <c s="739"/>
      <c s="739"/>
      <c s="739"/>
      <c s="739"/>
      <c s="739"/>
      <c s="741">
        <v>0</v>
      </c>
    </row>
    <row r="89" spans="1:32" s="1637" customFormat="1" ht="18.75" customHeight="1" hidden="1">
      <c r="A89" s="2373"/>
      <c s="912"/>
      <c s="737"/>
      <c s="735"/>
      <c s="548" t="str">
        <f>FHD_NUM_P_51</f>
        <v/>
      </c>
      <c s="1882" t="str">
        <f>FHD_P_51</f>
        <v/>
      </c>
      <c s="1883" t="s">
        <v>581</v>
      </c>
      <c s="979"/>
      <c s="579"/>
      <c s="291" t="str">
        <f>FHD_NOTE_P_51</f>
        <v/>
      </c>
      <c s="736"/>
      <c s="737"/>
      <c s="737"/>
      <c s="912"/>
      <c s="912"/>
      <c s="912"/>
      <c s="912"/>
      <c s="737"/>
      <c s="912"/>
      <c s="912"/>
      <c s="738"/>
      <c s="912"/>
      <c s="912"/>
      <c s="912"/>
      <c s="912"/>
      <c s="912"/>
      <c s="739"/>
      <c s="739"/>
      <c s="739"/>
      <c s="739"/>
      <c s="739"/>
      <c s="741">
        <v>0</v>
      </c>
    </row>
    <row r="90" spans="1:32" s="1637" customFormat="1" ht="18.75" customHeight="1" hidden="1">
      <c r="A90" s="2373"/>
      <c s="912"/>
      <c s="737"/>
      <c s="735"/>
      <c s="548" t="str">
        <f>FHD_NUM_P_52</f>
        <v/>
      </c>
      <c s="1882" t="str">
        <f>FHD_P_52</f>
        <v/>
      </c>
      <c s="1883" t="s">
        <v>558</v>
      </c>
      <c s="978"/>
      <c s="559"/>
      <c s="291" t="str">
        <f>FHD_NOTE_P_52</f>
        <v/>
      </c>
      <c s="736"/>
      <c s="737"/>
      <c s="737"/>
      <c s="912"/>
      <c s="912"/>
      <c s="912"/>
      <c s="912"/>
      <c s="737"/>
      <c s="912"/>
      <c s="912"/>
      <c s="738"/>
      <c s="912"/>
      <c s="912"/>
      <c s="912"/>
      <c s="912"/>
      <c s="912"/>
      <c s="739"/>
      <c s="739"/>
      <c s="739"/>
      <c s="739"/>
      <c s="739"/>
      <c s="741">
        <v>0</v>
      </c>
    </row>
    <row r="91" spans="1:32" s="1368" customFormat="1" ht="18.75" customHeight="1" hidden="1">
      <c r="A91" s="2375" t="s">
        <v>582</v>
      </c>
      <c r="C91" s="737"/>
      <c s="735"/>
      <c s="548" t="str">
        <f>FHD_NUM_P_53</f>
        <v/>
      </c>
      <c s="1882" t="str">
        <f>FHD_P_53</f>
        <v/>
      </c>
      <c s="1883" t="s">
        <v>581</v>
      </c>
      <c s="979"/>
      <c s="579"/>
      <c s="291" t="str">
        <f>FHD_NOTE_P_53</f>
        <v/>
      </c>
      <c s="736"/>
      <c s="737"/>
      <c s="737"/>
      <c r="R91" s="737"/>
      <c r="U91" s="738"/>
      <c r="AA91" s="739"/>
      <c s="739"/>
      <c s="739"/>
      <c s="739"/>
      <c s="739"/>
      <c s="912">
        <v>0</v>
      </c>
    </row>
    <row r="92" spans="1:32" s="1368" customFormat="1" ht="18.75" customHeight="1" hidden="1">
      <c r="A92" s="2375"/>
      <c r="C92" s="737"/>
      <c s="735"/>
      <c s="548" t="str">
        <f>FHD_NUM_P_54</f>
        <v/>
      </c>
      <c s="1882" t="str">
        <f>FHD_P_54</f>
        <v/>
      </c>
      <c s="1883" t="s">
        <v>581</v>
      </c>
      <c s="979"/>
      <c s="579"/>
      <c s="291" t="str">
        <f>FHD_NOTE_P_54</f>
        <v/>
      </c>
      <c s="736"/>
      <c s="737"/>
      <c s="737"/>
      <c r="R92" s="737"/>
      <c r="U92" s="738"/>
      <c r="AA92" s="739"/>
      <c s="739"/>
      <c s="739"/>
      <c s="739"/>
      <c s="739"/>
      <c s="912">
        <v>0</v>
      </c>
    </row>
    <row r="93" spans="1:32" s="1368" customFormat="1" ht="18.75" customHeight="1" hidden="1">
      <c r="A93" s="2375"/>
      <c r="C93" s="737"/>
      <c s="740"/>
      <c s="548" t="str">
        <f>FHD_NUM_P_55</f>
        <v/>
      </c>
      <c s="1882" t="str">
        <f>FHD_P_55</f>
        <v/>
      </c>
      <c s="1886"/>
      <c s="979"/>
      <c s="579"/>
      <c s="291" t="str">
        <f>FHD_NOTE_P_55</f>
        <v/>
      </c>
      <c s="736"/>
      <c s="737"/>
      <c s="737"/>
      <c r="R93" s="737"/>
      <c r="U93" s="738"/>
      <c r="AA93" s="739"/>
      <c s="739"/>
      <c s="739"/>
      <c s="739"/>
      <c s="739"/>
      <c s="912">
        <v>0</v>
      </c>
    </row>
    <row r="94" spans="1:32" s="1368" customFormat="1" ht="18.75" customHeight="1" hidden="1">
      <c r="A94" s="2375"/>
      <c r="C94" s="737"/>
      <c s="735"/>
      <c s="548" t="str">
        <f>FHD_NUM_P_56</f>
        <v/>
      </c>
      <c s="1882" t="str">
        <f>FHD_P_56</f>
        <v/>
      </c>
      <c s="1883" t="s">
        <v>583</v>
      </c>
      <c s="979"/>
      <c s="579"/>
      <c s="291" t="str">
        <f>FHD_NOTE_P_56</f>
        <v/>
      </c>
      <c s="736"/>
      <c s="737"/>
      <c s="737"/>
      <c r="R94" s="737"/>
      <c r="U94" s="738"/>
      <c r="AA94" s="739"/>
      <c s="739"/>
      <c s="739"/>
      <c s="739"/>
      <c s="739"/>
      <c s="912">
        <v>0</v>
      </c>
    </row>
    <row r="95" spans="1:32" s="1637" customFormat="1" ht="18.75" customHeight="1" hidden="1">
      <c r="A95" s="2375"/>
      <c s="912"/>
      <c s="737"/>
      <c s="735"/>
      <c s="548" t="str">
        <f>FHD_NUM_P_57</f>
        <v/>
      </c>
      <c s="1882" t="str">
        <f>FHD_P_57</f>
        <v/>
      </c>
      <c s="1883" t="s">
        <v>558</v>
      </c>
      <c s="978"/>
      <c s="559"/>
      <c s="291" t="str">
        <f>FHD_NOTE_P_57</f>
        <v/>
      </c>
      <c s="736"/>
      <c s="737"/>
      <c s="737"/>
      <c s="912"/>
      <c s="912"/>
      <c s="912"/>
      <c s="912"/>
      <c s="737"/>
      <c s="912"/>
      <c s="912"/>
      <c s="738"/>
      <c s="912"/>
      <c s="912"/>
      <c s="912"/>
      <c s="912"/>
      <c s="912"/>
      <c s="739"/>
      <c s="739"/>
      <c s="739"/>
      <c s="739"/>
      <c s="739"/>
      <c s="741">
        <v>0</v>
      </c>
    </row>
    <row r="96" spans="1:32" ht="18.75" customHeight="1">
      <c r="A96" s="2373" t="s">
        <v>584</v>
      </c>
      <c r="D96" s="1640"/>
      <c s="548" t="str">
        <f>FHD_NUM_P_58</f>
        <v>7</v>
      </c>
      <c s="1882" t="str">
        <f>FHD_P_58</f>
        <v>Объём сточных вод, принятых от потребителей</v>
      </c>
      <c s="1883" t="s">
        <v>581</v>
      </c>
      <c s="979"/>
      <c s="579"/>
      <c s="291" t="str">
        <f>FHD_NOTE_P_58</f>
        <v/>
      </c>
      <c s="545"/>
      <c r="AF96" s="1633">
        <v>0</v>
      </c>
    </row>
    <row r="97" spans="1:32" ht="18.75" customHeight="1">
      <c r="A97" s="2373"/>
      <c r="D97" s="1640"/>
      <c s="548" t="str">
        <f>FHD_NUM_P_59</f>
        <v>8</v>
      </c>
      <c s="1882" t="str">
        <f>FHD_P_59</f>
        <v>Объём сточных вод, принятых от других регулируемых организаций, осуществляющих водоотведение и (или) очистку сточных вод</v>
      </c>
      <c s="1883" t="s">
        <v>581</v>
      </c>
      <c s="979"/>
      <c s="579"/>
      <c s="291" t="str">
        <f>FHD_NOTE_P_59</f>
        <v/>
      </c>
      <c s="545"/>
      <c r="AF97" s="1633">
        <v>0</v>
      </c>
    </row>
    <row r="98" spans="1:32" ht="18.75" customHeight="1">
      <c r="A98" s="2373"/>
      <c r="D98" s="1640"/>
      <c s="548" t="str">
        <f>FHD_NUM_P_60</f>
        <v>9</v>
      </c>
      <c s="1882" t="str">
        <f>FHD_P_60</f>
        <v>Объём сточных вод, пропущенных через очистные сооружения</v>
      </c>
      <c s="1883" t="s">
        <v>581</v>
      </c>
      <c s="979"/>
      <c s="579"/>
      <c s="291" t="str">
        <f>FHD_NOTE_P_60</f>
        <v/>
      </c>
      <c s="545"/>
      <c r="AF98" s="1633">
        <v>0</v>
      </c>
    </row>
    <row r="99" spans="1:32" s="1368" customFormat="1" ht="18.75" customHeight="1" hidden="1">
      <c r="A99" s="2373" t="s">
        <v>585</v>
      </c>
      <c r="C99" s="1638"/>
      <c s="1640"/>
      <c s="548" t="str">
        <f>FHD_NUM_P_61</f>
        <v/>
      </c>
      <c s="1882" t="str">
        <f>FHD_P_61</f>
        <v/>
      </c>
      <c s="1880" t="s">
        <v>556</v>
      </c>
      <c s="981"/>
      <c s="744"/>
      <c s="291" t="str">
        <f>FHD_NOTE_P_61</f>
        <v/>
      </c>
      <c s="545"/>
      <c s="1638"/>
      <c s="1638"/>
      <c r="R99" s="1638"/>
      <c r="U99" s="546"/>
      <c r="AA99" s="1634"/>
      <c s="1634"/>
      <c s="1634"/>
      <c s="1634"/>
      <c s="1634"/>
      <c s="1162">
        <v>0</v>
      </c>
    </row>
    <row r="100" spans="1:32" s="1644" customFormat="1" ht="0.75" customHeight="1" hidden="1">
      <c r="A100" s="2373"/>
      <c r="D100" s="550"/>
      <c s="1015" t="str">
        <f>E99&amp;".0"</f>
        <v>.0</v>
      </c>
      <c s="996"/>
      <c s="997"/>
      <c s="994"/>
      <c s="994"/>
      <c s="998"/>
      <c r="AF100" s="1638">
        <v>0</v>
      </c>
    </row>
    <row r="101" spans="1:32" ht="15" customHeight="1" hidden="1">
      <c r="A101" s="2373"/>
      <c r="D101" s="1635"/>
      <c s="973"/>
      <c s="974" t="s">
        <v>586</v>
      </c>
      <c s="574"/>
      <c s="575"/>
      <c s="575"/>
      <c s="1006" t="s">
        <v>587</v>
      </c>
      <c s="545"/>
      <c r="AF101" s="1633">
        <v>0</v>
      </c>
    </row>
    <row r="102" spans="1:32" s="1368" customFormat="1" ht="18.75" customHeight="1" hidden="1">
      <c r="A102" s="2373"/>
      <c r="C102" s="1638"/>
      <c s="1640"/>
      <c s="548" t="str">
        <f>FHD_NUM_P_62</f>
        <v/>
      </c>
      <c s="1882" t="str">
        <f>FHD_P_62</f>
        <v/>
      </c>
      <c s="1879" t="s">
        <v>556</v>
      </c>
      <c s="559"/>
      <c s="559"/>
      <c s="291" t="str">
        <f>FHD_NOTE_P_62</f>
        <v/>
      </c>
      <c s="545"/>
      <c s="1638"/>
      <c s="1638"/>
      <c r="R102" s="1638"/>
      <c r="U102" s="546"/>
      <c r="AA102" s="1634"/>
      <c s="1634"/>
      <c s="1634"/>
      <c s="1634"/>
      <c s="1634"/>
      <c s="1162">
        <v>0</v>
      </c>
    </row>
    <row r="103" spans="1:32" s="1368" customFormat="1" ht="18.75" customHeight="1" hidden="1">
      <c r="A103" s="2373"/>
      <c r="C103" s="1638"/>
      <c s="1640"/>
      <c s="548" t="str">
        <f>FHD_NUM_P_63</f>
        <v/>
      </c>
      <c s="1882" t="str">
        <f>FHD_P_63</f>
        <v/>
      </c>
      <c s="1879" t="s">
        <v>583</v>
      </c>
      <c s="579"/>
      <c s="579"/>
      <c s="291" t="str">
        <f>FHD_NOTE_P_63</f>
        <v/>
      </c>
      <c s="545"/>
      <c s="1638"/>
      <c s="1638"/>
      <c r="R103" s="1638"/>
      <c r="U103" s="546"/>
      <c r="AA103" s="1634"/>
      <c s="1634"/>
      <c s="1634"/>
      <c s="1634"/>
      <c s="1634"/>
      <c s="1162">
        <v>0</v>
      </c>
    </row>
    <row r="104" spans="1:32" s="1368" customFormat="1" ht="18.75" customHeight="1" hidden="1">
      <c r="A104" s="2373"/>
      <c r="C104" s="1638" t="s">
        <v>588</v>
      </c>
      <c s="1640"/>
      <c s="548" t="str">
        <f>FHD_NUM_P_64</f>
        <v/>
      </c>
      <c s="1882" t="str">
        <f>FHD_P_64</f>
        <v/>
      </c>
      <c s="1879" t="s">
        <v>583</v>
      </c>
      <c s="547"/>
      <c s="547"/>
      <c s="291" t="str">
        <f>FHD_NOTE_P_64</f>
        <v/>
      </c>
      <c s="545"/>
      <c s="1638"/>
      <c s="1638"/>
      <c r="R104" s="1638"/>
      <c r="U104" s="546"/>
      <c r="AA104" s="1634"/>
      <c s="1634"/>
      <c s="1634"/>
      <c s="1634"/>
      <c s="1634"/>
      <c s="1162">
        <v>0</v>
      </c>
    </row>
    <row r="105" spans="1:32" s="1368" customFormat="1" ht="18.75" customHeight="1" hidden="1">
      <c r="A105" s="2373"/>
      <c r="C105" s="1638"/>
      <c s="1640"/>
      <c s="548" t="str">
        <f>FHD_NUM_P_65</f>
        <v/>
      </c>
      <c s="1882" t="str">
        <f>FHD_P_65</f>
        <v/>
      </c>
      <c s="1879" t="s">
        <v>583</v>
      </c>
      <c s="579"/>
      <c s="579"/>
      <c s="291" t="str">
        <f>FHD_NOTE_P_65</f>
        <v/>
      </c>
      <c s="545"/>
      <c s="1638"/>
      <c s="1638"/>
      <c r="R105" s="1638"/>
      <c r="U105" s="546"/>
      <c r="AA105" s="1634"/>
      <c s="1634"/>
      <c s="1634"/>
      <c s="1634"/>
      <c s="1634"/>
      <c s="1162">
        <v>0</v>
      </c>
    </row>
    <row r="106" spans="1:32" s="1368" customFormat="1" ht="18.75" customHeight="1" hidden="1">
      <c r="A106" s="2373"/>
      <c r="C106" s="1638"/>
      <c s="1640"/>
      <c s="548" t="str">
        <f>FHD_NUM_P_66</f>
        <v/>
      </c>
      <c s="1526" t="str">
        <f>FHD_P_66</f>
        <v/>
      </c>
      <c s="1879" t="s">
        <v>583</v>
      </c>
      <c s="579"/>
      <c s="579"/>
      <c s="291" t="str">
        <f>FHD_NOTE_P_66</f>
        <v/>
      </c>
      <c s="545"/>
      <c s="1638"/>
      <c s="1638"/>
      <c r="R106" s="1638"/>
      <c r="U106" s="546"/>
      <c r="AA106" s="1634"/>
      <c s="1634"/>
      <c s="1634"/>
      <c s="1634"/>
      <c s="1634"/>
      <c s="1162">
        <v>0</v>
      </c>
    </row>
    <row r="107" spans="1:32" s="1368" customFormat="1" ht="18.75" customHeight="1" hidden="1">
      <c r="A107" s="2373"/>
      <c r="C107" s="1638"/>
      <c s="1640"/>
      <c s="548" t="str">
        <f>FHD_NUM_P_67</f>
        <v/>
      </c>
      <c s="1652" t="str">
        <f>FHD_P_67</f>
        <v/>
      </c>
      <c s="1879" t="s">
        <v>583</v>
      </c>
      <c s="579"/>
      <c s="579"/>
      <c s="291" t="str">
        <f>FHD_NOTE_P_67</f>
        <v/>
      </c>
      <c s="545"/>
      <c s="1638"/>
      <c s="1638"/>
      <c r="R107" s="1638"/>
      <c r="U107" s="546"/>
      <c r="AA107" s="1634"/>
      <c s="1634"/>
      <c s="1634"/>
      <c s="1634"/>
      <c s="1634"/>
      <c s="1162">
        <v>0</v>
      </c>
    </row>
    <row r="108" spans="1:32" s="1368" customFormat="1" ht="18.75" customHeight="1" hidden="1">
      <c r="A108" s="2373"/>
      <c r="C108" s="1638"/>
      <c s="1640"/>
      <c s="548" t="str">
        <f>FHD_NUM_P_68</f>
        <v/>
      </c>
      <c s="1526" t="str">
        <f>FHD_P_68</f>
        <v/>
      </c>
      <c s="1879" t="s">
        <v>583</v>
      </c>
      <c s="579"/>
      <c s="579"/>
      <c s="291" t="str">
        <f>FHD_NOTE_P_68</f>
        <v/>
      </c>
      <c s="545"/>
      <c s="1638"/>
      <c s="1638"/>
      <c r="R108" s="1638"/>
      <c r="U108" s="546"/>
      <c r="AA108" s="1634"/>
      <c s="1634"/>
      <c s="1634"/>
      <c s="1634"/>
      <c s="1634"/>
      <c s="1162">
        <v>0</v>
      </c>
    </row>
    <row r="109" spans="1:32" s="1368" customFormat="1" ht="18.75" customHeight="1" hidden="1">
      <c r="A109" s="2373"/>
      <c r="C109" s="1638"/>
      <c s="1640"/>
      <c s="548" t="str">
        <f>FHD_NUM_P_69</f>
        <v/>
      </c>
      <c s="1526" t="str">
        <f>FHD_P_69</f>
        <v/>
      </c>
      <c s="1879" t="s">
        <v>583</v>
      </c>
      <c s="579"/>
      <c s="579"/>
      <c s="291" t="str">
        <f>FHD_NOTE_P_69</f>
        <v/>
      </c>
      <c s="545"/>
      <c s="1638"/>
      <c s="1638"/>
      <c r="R109" s="1638"/>
      <c r="U109" s="546"/>
      <c r="AA109" s="1634"/>
      <c s="1634"/>
      <c s="1634"/>
      <c s="1634"/>
      <c s="1634"/>
      <c s="1162">
        <v>0</v>
      </c>
    </row>
    <row r="110" spans="1:32" s="1368" customFormat="1" ht="22.5" customHeight="1" hidden="1">
      <c r="A110" s="2373"/>
      <c r="C110" s="1638"/>
      <c s="1640"/>
      <c s="548" t="str">
        <f>FHD_NUM_P_70</f>
        <v/>
      </c>
      <c s="1882" t="str">
        <f>FHD_P_70</f>
        <v/>
      </c>
      <c s="1879" t="s">
        <v>589</v>
      </c>
      <c s="559"/>
      <c s="559"/>
      <c s="291" t="str">
        <f>FHD_NOTE_P_70</f>
        <v/>
      </c>
      <c s="545"/>
      <c s="1638"/>
      <c s="1638"/>
      <c r="R110" s="1638"/>
      <c r="U110" s="546"/>
      <c r="AA110" s="1634"/>
      <c s="1634"/>
      <c s="1634"/>
      <c s="1634"/>
      <c s="1634"/>
      <c s="1162">
        <v>0</v>
      </c>
    </row>
    <row r="111" spans="1:32" s="1368" customFormat="1" ht="22.5" customHeight="1" hidden="1">
      <c r="A111" s="2373"/>
      <c r="C111" s="1638"/>
      <c s="1640"/>
      <c s="548" t="str">
        <f>FHD_NUM_P_71</f>
        <v/>
      </c>
      <c s="1882" t="str">
        <f>FHD_P_71</f>
        <v/>
      </c>
      <c s="1879" t="s">
        <v>589</v>
      </c>
      <c s="559"/>
      <c s="559"/>
      <c s="291" t="str">
        <f>FHD_NOTE_P_71</f>
        <v/>
      </c>
      <c s="545"/>
      <c s="1638"/>
      <c s="1638"/>
      <c r="R111" s="1638"/>
      <c r="U111" s="546"/>
      <c r="AA111" s="1634"/>
      <c s="1634"/>
      <c s="1634"/>
      <c s="1634"/>
      <c s="1634"/>
      <c s="1162">
        <v>0</v>
      </c>
    </row>
    <row r="112" spans="4:32" ht="19.95" customHeight="1">
      <c r="D112" s="1640"/>
      <c s="548" t="str">
        <f>FHD_NUM_P_72</f>
        <v>10</v>
      </c>
      <c s="1882" t="str">
        <f>FHD_P_72</f>
        <v>Среднесписочная численность основного производственного персонала</v>
      </c>
      <c s="1878" t="s">
        <v>590</v>
      </c>
      <c s="579"/>
      <c s="579"/>
      <c s="291" t="str">
        <f>FHD_NOTE_P_72</f>
        <v/>
      </c>
      <c s="545"/>
      <c r="AF112" s="1633">
        <v>19</v>
      </c>
    </row>
    <row r="113" spans="1:32" ht="18.75" customHeight="1" hidden="1">
      <c r="A113" s="991" t="s">
        <v>591</v>
      </c>
      <c r="D113" s="1640"/>
      <c s="548" t="str">
        <f>FHD_NUM_P_73</f>
        <v/>
      </c>
      <c s="1882" t="str">
        <f>FHD_P_73</f>
        <v/>
      </c>
      <c s="972" t="s">
        <v>590</v>
      </c>
      <c s="970"/>
      <c s="970"/>
      <c s="291" t="str">
        <f>FHD_NOTE_P_73</f>
        <v/>
      </c>
      <c s="545"/>
      <c r="AF113" s="1633">
        <v>0</v>
      </c>
    </row>
    <row r="114" spans="1:32" ht="33.75" customHeight="1" hidden="1">
      <c r="A114" s="991" t="s">
        <v>592</v>
      </c>
      <c r="D114" s="1640"/>
      <c s="548" t="str">
        <f>FHD_NUM_P_74</f>
        <v/>
      </c>
      <c s="1882" t="str">
        <f>FHD_P_74</f>
        <v/>
      </c>
      <c s="1878" t="s">
        <v>593</v>
      </c>
      <c s="579"/>
      <c s="579"/>
      <c s="291" t="str">
        <f>FHD_NOTE_P_74</f>
        <v/>
      </c>
      <c s="545"/>
      <c r="AF114" s="1633">
        <v>0</v>
      </c>
    </row>
    <row r="115" spans="1:32" s="1637" customFormat="1" ht="18.75" customHeight="1" hidden="1">
      <c r="A115" s="2375" t="s">
        <v>594</v>
      </c>
      <c s="912"/>
      <c s="737"/>
      <c s="735"/>
      <c s="548" t="str">
        <f>FHD_NUM_P_75</f>
        <v/>
      </c>
      <c s="1882" t="str">
        <f>FHD_P_75</f>
        <v/>
      </c>
      <c s="1878" t="s">
        <v>558</v>
      </c>
      <c s="559"/>
      <c s="559"/>
      <c s="291" t="str">
        <f>FHD_NOTE_P_75</f>
        <v/>
      </c>
      <c s="736"/>
      <c s="737"/>
      <c s="737"/>
      <c s="912"/>
      <c s="912"/>
      <c s="912"/>
      <c s="912"/>
      <c s="737"/>
      <c s="912"/>
      <c s="912"/>
      <c s="738"/>
      <c s="912"/>
      <c s="912"/>
      <c s="912"/>
      <c s="912"/>
      <c s="912"/>
      <c s="739"/>
      <c s="739"/>
      <c s="739"/>
      <c s="739"/>
      <c s="739"/>
      <c s="741">
        <v>0</v>
      </c>
    </row>
    <row r="116" spans="1:32" s="1637" customFormat="1" ht="18.75" customHeight="1" hidden="1">
      <c r="A116" s="2375"/>
      <c s="912"/>
      <c s="737"/>
      <c s="735"/>
      <c s="548" t="str">
        <f>FHD_NUM_P_76</f>
        <v/>
      </c>
      <c s="1882" t="str">
        <f>FHD_P_76</f>
        <v/>
      </c>
      <c s="1878" t="s">
        <v>558</v>
      </c>
      <c s="559"/>
      <c s="559"/>
      <c s="291" t="str">
        <f>FHD_NOTE_P_76</f>
        <v/>
      </c>
      <c s="736"/>
      <c s="737"/>
      <c s="737"/>
      <c s="912"/>
      <c s="912"/>
      <c s="912"/>
      <c s="912"/>
      <c s="737"/>
      <c s="912"/>
      <c s="912"/>
      <c s="738"/>
      <c s="912"/>
      <c s="912"/>
      <c s="912"/>
      <c s="912"/>
      <c s="912"/>
      <c s="739"/>
      <c s="739"/>
      <c s="739"/>
      <c s="739"/>
      <c s="739"/>
      <c s="741">
        <v>0</v>
      </c>
    </row>
    <row r="117" spans="1:32" s="1637" customFormat="1" ht="18.75" customHeight="1" hidden="1">
      <c r="A117" s="2375"/>
      <c s="912"/>
      <c s="737"/>
      <c s="735"/>
      <c s="548" t="str">
        <f>FHD_NUM_P_77</f>
        <v/>
      </c>
      <c s="1882" t="str">
        <f>FHD_P_77</f>
        <v/>
      </c>
      <c s="1878" t="s">
        <v>558</v>
      </c>
      <c s="559"/>
      <c s="559"/>
      <c s="291" t="str">
        <f>FHD_NOTE_P_77</f>
        <v/>
      </c>
      <c s="736"/>
      <c s="737"/>
      <c s="737"/>
      <c s="912"/>
      <c s="912"/>
      <c s="912"/>
      <c s="912"/>
      <c s="737"/>
      <c s="912"/>
      <c s="912"/>
      <c s="738"/>
      <c s="912"/>
      <c s="912"/>
      <c s="912"/>
      <c s="912"/>
      <c s="912"/>
      <c s="739"/>
      <c s="739"/>
      <c s="739"/>
      <c s="739"/>
      <c s="739"/>
      <c s="741">
        <v>0</v>
      </c>
    </row>
    <row r="118" spans="1:32" s="1644" customFormat="1" ht="0.75" customHeight="1" hidden="1">
      <c r="A118" s="2375"/>
      <c r="D118" s="550"/>
      <c s="1015" t="str">
        <f>E117&amp;".0"</f>
        <v>.0</v>
      </c>
      <c s="999"/>
      <c s="1653"/>
      <c s="994"/>
      <c s="994"/>
      <c s="998"/>
      <c r="AF118" s="1638">
        <v>0</v>
      </c>
    </row>
    <row r="119" spans="1:32" s="1637" customFormat="1" ht="15" customHeight="1" hidden="1">
      <c r="A119" s="2375"/>
      <c s="912"/>
      <c s="737"/>
      <c s="748"/>
      <c s="975"/>
      <c s="976" t="s">
        <v>595</v>
      </c>
      <c s="749"/>
      <c s="750"/>
      <c s="750"/>
      <c s="1005" t="s">
        <v>596</v>
      </c>
      <c s="736"/>
      <c s="737"/>
      <c s="737"/>
      <c s="912"/>
      <c s="912"/>
      <c s="912"/>
      <c s="912"/>
      <c s="737"/>
      <c s="912"/>
      <c s="912"/>
      <c s="738"/>
      <c s="912"/>
      <c s="912"/>
      <c s="912"/>
      <c s="912"/>
      <c s="912"/>
      <c s="739"/>
      <c s="739"/>
      <c s="739"/>
      <c s="739"/>
      <c s="739"/>
      <c s="741">
        <v>0</v>
      </c>
    </row>
    <row r="120" spans="1:32" ht="22.5" customHeight="1" hidden="1">
      <c r="A120" s="2373" t="s">
        <v>597</v>
      </c>
      <c r="D120" s="1640"/>
      <c s="548" t="str">
        <f>FHD_NUM_P_78</f>
        <v/>
      </c>
      <c s="1882" t="str">
        <f>FHD_P_78</f>
        <v/>
      </c>
      <c s="1879" t="s">
        <v>560</v>
      </c>
      <c s="579"/>
      <c s="579"/>
      <c s="291" t="str">
        <f>FHD_NOTE_P_78</f>
        <v/>
      </c>
      <c s="545"/>
      <c r="AF120" s="1633">
        <v>0</v>
      </c>
    </row>
    <row r="121" spans="1:32" s="1644" customFormat="1" ht="0.75" customHeight="1" hidden="1">
      <c r="A121" s="2373"/>
      <c r="D121" s="550"/>
      <c s="1015" t="str">
        <f>E120&amp;".0"</f>
        <v>.0</v>
      </c>
      <c s="999"/>
      <c s="1653"/>
      <c s="994"/>
      <c s="994"/>
      <c s="998"/>
      <c r="AF121" s="1638">
        <v>0</v>
      </c>
    </row>
    <row r="122" spans="1:32" ht="15" customHeight="1" hidden="1">
      <c r="A122" s="2373"/>
      <c r="D122" s="1635"/>
      <c s="572"/>
      <c s="1170" t="s">
        <v>586</v>
      </c>
      <c s="574"/>
      <c s="575"/>
      <c s="575"/>
      <c s="1006" t="s">
        <v>598</v>
      </c>
      <c s="545"/>
      <c r="AF122" s="1633">
        <v>0</v>
      </c>
    </row>
    <row r="123" spans="1:32" ht="22.5" customHeight="1" hidden="1">
      <c r="A123" s="2373"/>
      <c r="D123" s="1640"/>
      <c s="548" t="str">
        <f>FHD_NUM_P_79</f>
        <v/>
      </c>
      <c s="1882" t="str">
        <f>FHD_P_79</f>
        <v/>
      </c>
      <c s="1880" t="s">
        <v>562</v>
      </c>
      <c s="579"/>
      <c s="579"/>
      <c s="291" t="str">
        <f>FHD_NOTE_P_79</f>
        <v/>
      </c>
      <c s="545"/>
      <c r="AF123" s="1633">
        <v>0</v>
      </c>
    </row>
    <row r="124" spans="1:32" s="1644" customFormat="1" ht="0.75" customHeight="1" hidden="1">
      <c r="A124" s="2373"/>
      <c r="D124" s="550"/>
      <c s="1015" t="str">
        <f>E123&amp;".0"</f>
        <v>.0</v>
      </c>
      <c s="1000"/>
      <c s="1653"/>
      <c s="994"/>
      <c s="994"/>
      <c s="998"/>
      <c r="AF124" s="1638">
        <v>0</v>
      </c>
    </row>
    <row r="125" spans="1:32" ht="15" customHeight="1" hidden="1">
      <c r="A125" s="2373"/>
      <c r="D125" s="1635"/>
      <c s="572"/>
      <c s="1170" t="s">
        <v>586</v>
      </c>
      <c s="574"/>
      <c s="575"/>
      <c s="575"/>
      <c s="1006" t="s">
        <v>599</v>
      </c>
      <c s="545"/>
      <c r="AF125" s="1633">
        <v>0</v>
      </c>
    </row>
    <row r="126" spans="1:32" ht="22.5" customHeight="1" hidden="1">
      <c r="A126" s="2373"/>
      <c r="D126" s="1640"/>
      <c s="548" t="str">
        <f>FHD_NUM_P_80</f>
        <v/>
      </c>
      <c s="1882" t="str">
        <f>FHD_P_80</f>
        <v/>
      </c>
      <c s="1880" t="s">
        <v>600</v>
      </c>
      <c s="559"/>
      <c s="559"/>
      <c s="291" t="str">
        <f>FHD_NOTE_P_80</f>
        <v/>
      </c>
      <c s="545"/>
      <c r="AF126" s="1633">
        <v>0</v>
      </c>
    </row>
    <row r="127" spans="1:32" ht="18.75" customHeight="1" hidden="1">
      <c r="A127" s="2373"/>
      <c r="D127" s="1640"/>
      <c s="548" t="str">
        <f>FHD_NUM_P_81</f>
        <v/>
      </c>
      <c s="1882" t="str">
        <f>FHD_P_81</f>
        <v/>
      </c>
      <c s="1880" t="s">
        <v>601</v>
      </c>
      <c s="559"/>
      <c s="559"/>
      <c s="291" t="str">
        <f>FHD_NOTE_P_81</f>
        <v/>
      </c>
      <c s="545"/>
      <c r="AF127" s="1633">
        <v>0</v>
      </c>
    </row>
    <row r="128" spans="1:32" ht="18.75" customHeight="1" hidden="1">
      <c r="A128" s="2373"/>
      <c r="C128" s="1638" t="s">
        <v>588</v>
      </c>
      <c s="1640"/>
      <c s="548" t="str">
        <f>FHD_NUM_P_82</f>
        <v/>
      </c>
      <c s="1882" t="str">
        <f>FHD_P_82</f>
        <v/>
      </c>
      <c s="1880" t="s">
        <v>306</v>
      </c>
      <c s="403"/>
      <c s="403"/>
      <c s="291" t="str">
        <f>FHD_NOTE_P_82</f>
        <v/>
      </c>
      <c s="545"/>
      <c r="AF128" s="1633">
        <v>0</v>
      </c>
    </row>
    <row r="129" spans="1:32" ht="18.75" customHeight="1" hidden="1">
      <c r="A129" s="2373"/>
      <c r="C129" s="1638" t="s">
        <v>588</v>
      </c>
      <c s="1640"/>
      <c s="548" t="str">
        <f>FHD_NUM_P_83</f>
        <v/>
      </c>
      <c s="1526" t="str">
        <f>FHD_P_83</f>
        <v/>
      </c>
      <c s="1880" t="s">
        <v>306</v>
      </c>
      <c s="403"/>
      <c s="403"/>
      <c s="291" t="str">
        <f>FHD_NOTE_P_83</f>
        <v/>
      </c>
      <c s="545"/>
      <c r="AF129" s="1633">
        <v>0</v>
      </c>
    </row>
    <row r="130" spans="1:32" ht="18.75" customHeight="1" hidden="1">
      <c r="A130" s="2373"/>
      <c r="C130" s="1638" t="s">
        <v>588</v>
      </c>
      <c s="1640"/>
      <c s="548" t="str">
        <f>FHD_NUM_P_84</f>
        <v/>
      </c>
      <c s="1526" t="str">
        <f>FHD_P_84</f>
        <v/>
      </c>
      <c s="1880" t="s">
        <v>306</v>
      </c>
      <c s="403"/>
      <c s="403"/>
      <c s="291" t="str">
        <f>FHD_NOTE_P_84</f>
        <v/>
      </c>
      <c s="545"/>
      <c r="AF130" s="1633">
        <v>0</v>
      </c>
    </row>
    <row r="131" spans="4:32" ht="11.55" customHeight="1">
      <c r="D131" s="1640"/>
      <c r="AF131" s="1633">
        <v>11</v>
      </c>
    </row>
    <row r="132" spans="4:32" ht="13.5" customHeight="1">
      <c r="D132" s="1640"/>
      <c s="338"/>
      <c s="371"/>
      <c s="371"/>
      <c s="371"/>
      <c s="1649"/>
      <c s="583"/>
      <c r="AF132" s="1633">
        <v>13</v>
      </c>
    </row>
    <row r="133" spans="1:32" s="1643" customFormat="1" ht="11.55" customHeight="1">
      <c r="A133" s="989"/>
      <c s="1638"/>
      <c s="1638"/>
      <c s="353"/>
      <c r="F133" s="1642"/>
      <c s="1633"/>
      <c s="1633"/>
      <c s="1633"/>
      <c r="K133" s="1162"/>
      <c s="1638"/>
      <c s="1638"/>
      <c s="1162"/>
      <c s="1162"/>
      <c s="1162"/>
      <c s="1162"/>
      <c s="1638"/>
      <c s="1162"/>
      <c s="1162"/>
      <c s="546"/>
      <c s="1162"/>
      <c s="1162"/>
      <c s="1162"/>
      <c s="1162"/>
      <c s="1162"/>
      <c s="1634"/>
      <c s="568"/>
      <c s="568"/>
      <c s="568"/>
      <c s="568"/>
      <c s="1643">
        <v>11</v>
      </c>
    </row>
    <row r="134" spans="1:32" s="1643" customFormat="1" ht="11.55" customHeight="1">
      <c r="A134" s="989"/>
      <c s="1638"/>
      <c s="1638"/>
      <c s="353"/>
      <c r="K134" s="1162"/>
      <c s="1638"/>
      <c s="1638"/>
      <c s="1162"/>
      <c s="1162"/>
      <c s="1162"/>
      <c s="1162"/>
      <c s="1638"/>
      <c s="1162"/>
      <c s="1162"/>
      <c s="546"/>
      <c s="1162"/>
      <c s="1162"/>
      <c s="1162"/>
      <c s="1162"/>
      <c s="1162"/>
      <c s="1634"/>
      <c s="568"/>
      <c s="568"/>
      <c s="568"/>
      <c s="568"/>
      <c s="1643">
        <v>11</v>
      </c>
    </row>
    <row r="135" spans="1:32" s="1643" customFormat="1" ht="11.55" customHeight="1">
      <c r="A135" s="989"/>
      <c s="1638"/>
      <c s="1638"/>
      <c s="353"/>
      <c r="K135" s="1162"/>
      <c s="1638"/>
      <c s="1638"/>
      <c s="1162"/>
      <c s="1162"/>
      <c s="1162"/>
      <c s="1162"/>
      <c s="1638"/>
      <c s="1162"/>
      <c s="1162"/>
      <c s="546"/>
      <c s="1162"/>
      <c s="1162"/>
      <c s="1162"/>
      <c s="1162"/>
      <c s="1162"/>
      <c s="1634"/>
      <c s="568"/>
      <c s="568"/>
      <c s="568"/>
      <c s="568"/>
      <c s="1643">
        <v>11</v>
      </c>
    </row>
    <row r="136" spans="1:32" s="1643" customFormat="1" ht="11.55" customHeight="1">
      <c r="A136" s="989"/>
      <c s="1638"/>
      <c s="1638"/>
      <c s="353"/>
      <c r="H136" s="568" t="str">
        <f>IF(H30-H31&lt;&gt;H72,"WARNING","")</f>
        <v/>
      </c>
      <c s="568" t="str">
        <f>IF(I30-I31&lt;&gt;I72,"WARNING","")</f>
        <v/>
      </c>
      <c r="K136" s="1162"/>
      <c s="1638"/>
      <c s="1638"/>
      <c s="1162"/>
      <c s="1162"/>
      <c s="1162"/>
      <c s="1162"/>
      <c s="1638"/>
      <c s="1162"/>
      <c s="1162"/>
      <c s="546"/>
      <c s="1162"/>
      <c s="1162"/>
      <c s="1162"/>
      <c s="1162"/>
      <c s="1162"/>
      <c s="1634"/>
      <c s="568"/>
      <c s="568"/>
      <c s="568"/>
      <c s="568"/>
      <c s="1643">
        <v>11</v>
      </c>
    </row>
    <row r="137" spans="1:32" s="1643" customFormat="1" ht="11.55" customHeight="1">
      <c r="A137" s="989"/>
      <c s="1638"/>
      <c s="1638"/>
      <c s="353"/>
      <c r="K137" s="1162"/>
      <c s="1638"/>
      <c s="1638"/>
      <c s="1162"/>
      <c s="1162"/>
      <c s="1162"/>
      <c s="1162"/>
      <c s="1638"/>
      <c s="1162"/>
      <c s="1162"/>
      <c s="546"/>
      <c s="1162"/>
      <c s="1162"/>
      <c s="1162"/>
      <c s="1162"/>
      <c s="1162"/>
      <c s="1634"/>
      <c s="568"/>
      <c s="568"/>
      <c s="568"/>
      <c s="568"/>
      <c s="1643">
        <v>11</v>
      </c>
    </row>
    <row r="138" spans="1:32" s="1643" customFormat="1" ht="11.55" customHeight="1">
      <c r="A138" s="989"/>
      <c s="1638"/>
      <c s="1638"/>
      <c s="353"/>
      <c r="K138" s="1162"/>
      <c s="1638"/>
      <c s="1638"/>
      <c s="1162"/>
      <c s="1162"/>
      <c s="1162"/>
      <c s="1162"/>
      <c s="1638"/>
      <c s="1162"/>
      <c s="1162"/>
      <c s="546"/>
      <c s="1162"/>
      <c s="1162"/>
      <c s="1162"/>
      <c s="1162"/>
      <c s="1162"/>
      <c s="1634"/>
      <c s="568"/>
      <c s="568"/>
      <c s="568"/>
      <c s="568"/>
      <c s="1643">
        <v>11</v>
      </c>
    </row>
    <row r="139" spans="1:32" s="1643" customFormat="1" ht="11.55" customHeight="1">
      <c r="A139" s="989"/>
      <c s="1638"/>
      <c s="1638"/>
      <c s="353"/>
      <c r="K139" s="1162"/>
      <c s="1638"/>
      <c s="1638"/>
      <c s="1162"/>
      <c s="1162"/>
      <c s="1162"/>
      <c s="1162"/>
      <c s="1638"/>
      <c s="1162"/>
      <c s="1162"/>
      <c s="546"/>
      <c s="1162"/>
      <c s="1162"/>
      <c s="1162"/>
      <c s="1162"/>
      <c s="1162"/>
      <c s="1634"/>
      <c s="568"/>
      <c s="568"/>
      <c s="568"/>
      <c s="568"/>
      <c s="1643">
        <v>11</v>
      </c>
    </row>
    <row r="140" spans="1:32" s="1643" customFormat="1" ht="11.55" customHeight="1">
      <c r="A140" s="989"/>
      <c s="1638"/>
      <c s="1638"/>
      <c s="353"/>
      <c r="K140" s="1162"/>
      <c s="1638"/>
      <c s="1638"/>
      <c s="1162"/>
      <c s="1162"/>
      <c s="1162"/>
      <c s="1162"/>
      <c s="1638"/>
      <c s="1162"/>
      <c s="1162"/>
      <c s="546"/>
      <c s="1162"/>
      <c s="1162"/>
      <c s="1162"/>
      <c s="1162"/>
      <c s="1162"/>
      <c s="1634"/>
      <c s="568"/>
      <c s="568"/>
      <c s="568"/>
      <c s="568"/>
      <c s="1643">
        <v>11</v>
      </c>
    </row>
    <row r="141" spans="1:32" s="1643" customFormat="1" ht="11.55" customHeight="1">
      <c r="A141" s="989"/>
      <c s="1638"/>
      <c s="1638"/>
      <c s="353"/>
      <c r="K141" s="1162"/>
      <c s="1638"/>
      <c s="1638"/>
      <c s="1162"/>
      <c s="1162"/>
      <c s="1162"/>
      <c s="1162"/>
      <c s="1638"/>
      <c s="1162"/>
      <c s="1162"/>
      <c s="546"/>
      <c s="1162"/>
      <c s="1162"/>
      <c s="1162"/>
      <c s="1162"/>
      <c s="1162"/>
      <c s="1634"/>
      <c s="568"/>
      <c s="568"/>
      <c s="568"/>
      <c s="568"/>
      <c s="1643">
        <v>11</v>
      </c>
    </row>
    <row r="142" spans="1:32" s="1643" customFormat="1" ht="11.55" customHeight="1">
      <c r="A142" s="989"/>
      <c s="1638"/>
      <c s="1638"/>
      <c s="353"/>
      <c r="K142" s="1162"/>
      <c s="1638"/>
      <c s="1638"/>
      <c s="1162"/>
      <c s="1162"/>
      <c s="1162"/>
      <c s="1162"/>
      <c s="1638"/>
      <c s="1162"/>
      <c s="1162"/>
      <c s="546"/>
      <c s="1162"/>
      <c s="1162"/>
      <c s="1162"/>
      <c s="1162"/>
      <c s="1162"/>
      <c s="1634"/>
      <c s="568"/>
      <c s="568"/>
      <c s="568"/>
      <c s="568"/>
      <c s="1643">
        <v>11</v>
      </c>
    </row>
    <row r="143" spans="1:32" s="1643" customFormat="1" ht="11.55" customHeight="1">
      <c r="A143" s="989"/>
      <c s="1638"/>
      <c s="1638"/>
      <c s="353"/>
      <c r="K143" s="1162"/>
      <c s="1638"/>
      <c s="1638"/>
      <c s="1162"/>
      <c s="1162"/>
      <c s="1162"/>
      <c s="1162"/>
      <c s="1638"/>
      <c s="1162"/>
      <c s="1162"/>
      <c s="546"/>
      <c s="1162"/>
      <c s="1162"/>
      <c s="1162"/>
      <c s="1162"/>
      <c s="1162"/>
      <c s="1634"/>
      <c s="568"/>
      <c s="568"/>
      <c s="568"/>
      <c s="568"/>
      <c s="1643">
        <v>11</v>
      </c>
    </row>
    <row r="144" spans="1:32" s="1643" customFormat="1" ht="11.55" customHeight="1">
      <c r="A144" s="989"/>
      <c s="1638"/>
      <c s="1638"/>
      <c s="353"/>
      <c r="K144" s="1162"/>
      <c s="1638"/>
      <c s="1638"/>
      <c s="1162"/>
      <c s="1162"/>
      <c s="1162"/>
      <c s="1162"/>
      <c s="1638"/>
      <c s="1162"/>
      <c s="1162"/>
      <c s="546"/>
      <c s="1162"/>
      <c s="1162"/>
      <c s="1162"/>
      <c s="1162"/>
      <c s="1162"/>
      <c s="1634"/>
      <c s="568"/>
      <c s="568"/>
      <c s="568"/>
      <c s="568"/>
      <c s="1643">
        <v>11</v>
      </c>
    </row>
    <row r="145" spans="1:32" s="1643" customFormat="1" ht="11.55" customHeight="1">
      <c r="A145" s="989"/>
      <c s="1638"/>
      <c s="1638"/>
      <c s="353"/>
      <c r="K145" s="1162"/>
      <c s="1638"/>
      <c s="1638"/>
      <c s="1162"/>
      <c s="1162"/>
      <c s="1162"/>
      <c s="1162"/>
      <c s="1638"/>
      <c s="1162"/>
      <c s="1162"/>
      <c s="546"/>
      <c s="1162"/>
      <c s="1162"/>
      <c s="1162"/>
      <c s="1162"/>
      <c s="1162"/>
      <c s="1634"/>
      <c s="568"/>
      <c s="568"/>
      <c s="568"/>
      <c s="568"/>
      <c s="1643">
        <v>11</v>
      </c>
    </row>
    <row r="146" spans="1:32" s="1643" customFormat="1" ht="11.55" customHeight="1">
      <c r="A146" s="989"/>
      <c s="1638"/>
      <c s="1638"/>
      <c s="353"/>
      <c r="K146" s="1162"/>
      <c s="1638"/>
      <c s="1638"/>
      <c s="1162"/>
      <c s="1162"/>
      <c s="1162"/>
      <c s="1162"/>
      <c s="1638"/>
      <c s="1162"/>
      <c s="1162"/>
      <c s="546"/>
      <c s="1162"/>
      <c s="1162"/>
      <c s="1162"/>
      <c s="1162"/>
      <c s="1162"/>
      <c s="1634"/>
      <c s="568"/>
      <c s="568"/>
      <c s="568"/>
      <c s="568"/>
      <c s="1643">
        <v>11</v>
      </c>
    </row>
    <row r="147" spans="1:32" s="1643" customFormat="1" ht="11.55" customHeight="1">
      <c r="A147" s="989"/>
      <c s="1638"/>
      <c s="1638"/>
      <c s="353"/>
      <c r="K147" s="1162"/>
      <c s="1638"/>
      <c s="1638"/>
      <c s="1162"/>
      <c s="1162"/>
      <c s="1162"/>
      <c s="1162"/>
      <c s="1638"/>
      <c s="1162"/>
      <c s="1162"/>
      <c s="546"/>
      <c s="1162"/>
      <c s="1162"/>
      <c s="1162"/>
      <c s="1162"/>
      <c s="1162"/>
      <c s="1634"/>
      <c s="568"/>
      <c s="568"/>
      <c s="568"/>
      <c s="568"/>
      <c s="1643">
        <v>11</v>
      </c>
    </row>
    <row r="148" spans="1:32" s="1643" customFormat="1" ht="11.55" customHeight="1">
      <c r="A148" s="989"/>
      <c s="1638"/>
      <c s="1638"/>
      <c s="353"/>
      <c r="K148" s="1162"/>
      <c s="1638"/>
      <c s="1638"/>
      <c s="1162"/>
      <c s="1162"/>
      <c s="1162"/>
      <c s="1162"/>
      <c s="1638"/>
      <c s="1162"/>
      <c s="1162"/>
      <c s="546"/>
      <c s="1162"/>
      <c s="1162"/>
      <c s="1162"/>
      <c s="1162"/>
      <c s="1162"/>
      <c s="1634"/>
      <c s="568"/>
      <c s="568"/>
      <c s="568"/>
      <c s="568"/>
      <c s="1643">
        <v>11</v>
      </c>
    </row>
    <row r="149" spans="1:32" s="1643" customFormat="1" ht="11.55" customHeight="1">
      <c r="A149" s="989"/>
      <c s="1638"/>
      <c s="1638"/>
      <c s="353"/>
      <c r="K149" s="1162"/>
      <c s="1638"/>
      <c s="1638"/>
      <c s="1162"/>
      <c s="1162"/>
      <c s="1162"/>
      <c s="1162"/>
      <c s="1638"/>
      <c s="1162"/>
      <c s="1162"/>
      <c s="546"/>
      <c s="1162"/>
      <c s="1162"/>
      <c s="1162"/>
      <c s="1162"/>
      <c s="1162"/>
      <c s="1634"/>
      <c s="568"/>
      <c s="568"/>
      <c s="568"/>
      <c s="568"/>
      <c s="1643">
        <v>11</v>
      </c>
    </row>
    <row r="150" spans="1:32" s="1643" customFormat="1" ht="11.55" customHeight="1">
      <c r="A150" s="989"/>
      <c s="1638"/>
      <c s="1638"/>
      <c s="353"/>
      <c r="K150" s="1162"/>
      <c s="1638"/>
      <c s="1638"/>
      <c s="1162"/>
      <c s="1162"/>
      <c s="1162"/>
      <c s="1162"/>
      <c s="1638"/>
      <c s="1162"/>
      <c s="1162"/>
      <c s="546"/>
      <c s="1162"/>
      <c s="1162"/>
      <c s="1162"/>
      <c s="1162"/>
      <c s="1162"/>
      <c s="1634"/>
      <c s="568"/>
      <c s="568"/>
      <c s="568"/>
      <c s="568"/>
      <c s="1643">
        <v>11</v>
      </c>
    </row>
    <row r="151" spans="1:32" s="1643" customFormat="1" ht="11.55" customHeight="1">
      <c r="A151" s="989"/>
      <c s="1638"/>
      <c s="1638"/>
      <c s="353"/>
      <c r="K151" s="1162"/>
      <c s="1638"/>
      <c s="1638"/>
      <c s="1162"/>
      <c s="1162"/>
      <c s="1162"/>
      <c s="1162"/>
      <c s="1638"/>
      <c s="1162"/>
      <c s="1162"/>
      <c s="546"/>
      <c s="1162"/>
      <c s="1162"/>
      <c s="1162"/>
      <c s="1162"/>
      <c s="1162"/>
      <c s="1634"/>
      <c s="568"/>
      <c s="568"/>
      <c s="568"/>
      <c s="568"/>
      <c s="1643">
        <v>11</v>
      </c>
    </row>
    <row r="152" spans="1:32" s="1643" customFormat="1" ht="11.55" customHeight="1">
      <c r="A152" s="989"/>
      <c s="1638"/>
      <c s="1638"/>
      <c s="353"/>
      <c r="K152" s="1162"/>
      <c s="1638"/>
      <c s="1638"/>
      <c s="1162"/>
      <c s="1162"/>
      <c s="1162"/>
      <c s="1162"/>
      <c s="1638"/>
      <c s="1162"/>
      <c s="1162"/>
      <c s="546"/>
      <c s="1162"/>
      <c s="1162"/>
      <c s="1162"/>
      <c s="1162"/>
      <c s="1162"/>
      <c s="1634"/>
      <c s="568"/>
      <c s="568"/>
      <c s="568"/>
      <c s="568"/>
      <c s="1643">
        <v>11</v>
      </c>
    </row>
    <row r="153" spans="1:32" s="1643" customFormat="1" ht="11.55" customHeight="1">
      <c r="A153" s="989"/>
      <c s="1638"/>
      <c s="1638"/>
      <c s="353"/>
      <c r="K153" s="1162"/>
      <c s="1638"/>
      <c s="1638"/>
      <c s="1162"/>
      <c s="1162"/>
      <c s="1162"/>
      <c s="1162"/>
      <c s="1638"/>
      <c s="1162"/>
      <c s="1162"/>
      <c s="546"/>
      <c s="1162"/>
      <c s="1162"/>
      <c s="1162"/>
      <c s="1162"/>
      <c s="1162"/>
      <c s="1634"/>
      <c s="568"/>
      <c s="568"/>
      <c s="568"/>
      <c s="568"/>
      <c s="1643">
        <v>11</v>
      </c>
    </row>
    <row r="154" spans="1:32" s="1643" customFormat="1" ht="11.55" customHeight="1">
      <c r="A154" s="989"/>
      <c s="1638"/>
      <c s="1638"/>
      <c s="353"/>
      <c r="K154" s="1162"/>
      <c s="1638"/>
      <c s="1638"/>
      <c s="1162"/>
      <c s="1162"/>
      <c s="1162"/>
      <c s="1162"/>
      <c s="1638"/>
      <c s="1162"/>
      <c s="1162"/>
      <c s="546"/>
      <c s="1162"/>
      <c s="1162"/>
      <c s="1162"/>
      <c s="1162"/>
      <c s="1162"/>
      <c s="1634"/>
      <c s="568"/>
      <c s="568"/>
      <c s="568"/>
      <c s="568"/>
      <c s="1643">
        <v>11</v>
      </c>
    </row>
    <row r="155" spans="1:32" s="1643" customFormat="1" ht="11.55" customHeight="1">
      <c r="A155" s="989"/>
      <c s="1638"/>
      <c s="1638"/>
      <c s="353"/>
      <c r="K155" s="1162"/>
      <c s="1638"/>
      <c s="1638"/>
      <c s="1162"/>
      <c s="1162"/>
      <c s="1162"/>
      <c s="1162"/>
      <c s="1638"/>
      <c s="1162"/>
      <c s="1162"/>
      <c s="546"/>
      <c s="1162"/>
      <c s="1162"/>
      <c s="1162"/>
      <c s="1162"/>
      <c s="1162"/>
      <c s="1634"/>
      <c s="568"/>
      <c s="568"/>
      <c s="568"/>
      <c s="568"/>
      <c s="1643">
        <v>11</v>
      </c>
    </row>
    <row r="156" spans="1:32" s="1643" customFormat="1" ht="11.55" customHeight="1">
      <c r="A156" s="989"/>
      <c s="1638"/>
      <c s="1638"/>
      <c s="353"/>
      <c r="K156" s="1162"/>
      <c s="1638"/>
      <c s="1638"/>
      <c s="1162"/>
      <c s="1162"/>
      <c s="1162"/>
      <c s="1162"/>
      <c s="1638"/>
      <c s="1162"/>
      <c s="1162"/>
      <c s="546"/>
      <c s="1162"/>
      <c s="1162"/>
      <c s="1162"/>
      <c s="1162"/>
      <c s="1162"/>
      <c s="1634"/>
      <c s="568"/>
      <c s="568"/>
      <c s="568"/>
      <c s="568"/>
      <c s="1643">
        <v>11</v>
      </c>
    </row>
    <row r="157" spans="1:32" s="1643" customFormat="1" ht="11.55" customHeight="1">
      <c r="A157" s="989"/>
      <c s="1638"/>
      <c s="1638"/>
      <c s="353"/>
      <c r="K157" s="1162"/>
      <c s="1638"/>
      <c s="1638"/>
      <c s="1162"/>
      <c s="1162"/>
      <c s="1162"/>
      <c s="1162"/>
      <c s="1638"/>
      <c s="1162"/>
      <c s="1162"/>
      <c s="546"/>
      <c s="1162"/>
      <c s="1162"/>
      <c s="1162"/>
      <c s="1162"/>
      <c s="1162"/>
      <c s="1634"/>
      <c s="568"/>
      <c s="568"/>
      <c s="568"/>
      <c s="568"/>
      <c s="1643">
        <v>11</v>
      </c>
    </row>
    <row r="158" spans="1:32" s="1643" customFormat="1" ht="11.55" customHeight="1">
      <c r="A158" s="989"/>
      <c s="1638"/>
      <c s="1638"/>
      <c s="353"/>
      <c r="K158" s="1162"/>
      <c s="1638"/>
      <c s="1638"/>
      <c s="1162"/>
      <c s="1162"/>
      <c s="1162"/>
      <c s="1162"/>
      <c s="1638"/>
      <c s="1162"/>
      <c s="1162"/>
      <c s="546"/>
      <c s="1162"/>
      <c s="1162"/>
      <c s="1162"/>
      <c s="1162"/>
      <c s="1162"/>
      <c s="1634"/>
      <c s="568"/>
      <c s="568"/>
      <c s="568"/>
      <c s="568"/>
      <c s="1643">
        <v>11</v>
      </c>
    </row>
    <row r="159" spans="1:32" s="1643" customFormat="1" ht="11.55" customHeight="1">
      <c r="A159" s="989"/>
      <c s="1638"/>
      <c s="1638"/>
      <c s="353"/>
      <c r="K159" s="1162"/>
      <c s="1638"/>
      <c s="1638"/>
      <c s="1162"/>
      <c s="1162"/>
      <c s="1162"/>
      <c s="1162"/>
      <c s="1638"/>
      <c s="1162"/>
      <c s="1162"/>
      <c s="546"/>
      <c s="1162"/>
      <c s="1162"/>
      <c s="1162"/>
      <c s="1162"/>
      <c s="1162"/>
      <c s="1634"/>
      <c s="568"/>
      <c s="568"/>
      <c s="568"/>
      <c s="568"/>
      <c s="1643">
        <v>11</v>
      </c>
    </row>
    <row r="160" spans="1:32" s="1643" customFormat="1" ht="11.55" customHeight="1">
      <c r="A160" s="989"/>
      <c s="1638"/>
      <c s="1638"/>
      <c s="353"/>
      <c r="K160" s="1162"/>
      <c s="1638"/>
      <c s="1638"/>
      <c s="1162"/>
      <c s="1162"/>
      <c s="1162"/>
      <c s="1162"/>
      <c s="1638"/>
      <c s="1162"/>
      <c s="1162"/>
      <c s="546"/>
      <c s="1162"/>
      <c s="1162"/>
      <c s="1162"/>
      <c s="1162"/>
      <c s="1162"/>
      <c s="1634"/>
      <c s="568"/>
      <c s="568"/>
      <c s="568"/>
      <c s="568"/>
      <c s="1643">
        <v>11</v>
      </c>
    </row>
    <row r="161" spans="1:32" s="1643" customFormat="1" ht="11.55" customHeight="1">
      <c r="A161" s="989"/>
      <c s="1638"/>
      <c s="1638"/>
      <c s="353"/>
      <c r="K161" s="1162"/>
      <c s="1638"/>
      <c s="1638"/>
      <c s="1162"/>
      <c s="1162"/>
      <c s="1162"/>
      <c s="1162"/>
      <c s="1638"/>
      <c s="1162"/>
      <c s="1162"/>
      <c s="546"/>
      <c s="1162"/>
      <c s="1162"/>
      <c s="1162"/>
      <c s="1162"/>
      <c s="1162"/>
      <c s="1634"/>
      <c s="568"/>
      <c s="568"/>
      <c s="568"/>
      <c s="568"/>
      <c s="1643">
        <v>11</v>
      </c>
    </row>
    <row r="162" spans="1:32" s="1643" customFormat="1" ht="11.55" customHeight="1">
      <c r="A162" s="989"/>
      <c s="1638"/>
      <c s="1638"/>
      <c s="353"/>
      <c r="K162" s="1162"/>
      <c s="1638"/>
      <c s="1638"/>
      <c s="1162"/>
      <c s="1162"/>
      <c s="1162"/>
      <c s="1162"/>
      <c s="1638"/>
      <c s="1162"/>
      <c s="1162"/>
      <c s="546"/>
      <c s="1162"/>
      <c s="1162"/>
      <c s="1162"/>
      <c s="1162"/>
      <c s="1162"/>
      <c s="1634"/>
      <c s="568"/>
      <c s="568"/>
      <c s="568"/>
      <c s="568"/>
      <c s="1643">
        <v>11</v>
      </c>
    </row>
    <row r="163" spans="1:32" s="1643" customFormat="1" ht="11.55" customHeight="1">
      <c r="A163" s="989"/>
      <c s="1638"/>
      <c s="1638"/>
      <c s="353"/>
      <c r="K163" s="1162"/>
      <c s="1638"/>
      <c s="1638"/>
      <c s="1162"/>
      <c s="1162"/>
      <c s="1162"/>
      <c s="1162"/>
      <c s="1638"/>
      <c s="1162"/>
      <c s="1162"/>
      <c s="546"/>
      <c s="1162"/>
      <c s="1162"/>
      <c s="1162"/>
      <c s="1162"/>
      <c s="1162"/>
      <c s="1634"/>
      <c s="568"/>
      <c s="568"/>
      <c s="568"/>
      <c s="568"/>
      <c s="1643">
        <v>11</v>
      </c>
    </row>
    <row r="164" spans="1:32" s="1643" customFormat="1" ht="11.55" customHeight="1">
      <c r="A164" s="989"/>
      <c s="1638"/>
      <c s="1638"/>
      <c s="353"/>
      <c r="K164" s="1162"/>
      <c s="1638"/>
      <c s="1638"/>
      <c s="1162"/>
      <c s="1162"/>
      <c s="1162"/>
      <c s="1162"/>
      <c s="1638"/>
      <c s="1162"/>
      <c s="1162"/>
      <c s="546"/>
      <c s="1162"/>
      <c s="1162"/>
      <c s="1162"/>
      <c s="1162"/>
      <c s="1162"/>
      <c s="1634"/>
      <c s="568"/>
      <c s="568"/>
      <c s="568"/>
      <c s="568"/>
      <c s="1643">
        <v>11</v>
      </c>
    </row>
    <row r="165" spans="1:32" s="1643" customFormat="1" ht="11.55" customHeight="1">
      <c r="A165" s="989"/>
      <c s="1638"/>
      <c s="1638"/>
      <c s="353"/>
      <c r="K165" s="1162"/>
      <c s="1638"/>
      <c s="1638"/>
      <c s="1162"/>
      <c s="1162"/>
      <c s="1162"/>
      <c s="1162"/>
      <c s="1638"/>
      <c s="1162"/>
      <c s="1162"/>
      <c s="546"/>
      <c s="1162"/>
      <c s="1162"/>
      <c s="1162"/>
      <c s="1162"/>
      <c s="1162"/>
      <c s="1634"/>
      <c s="568"/>
      <c s="568"/>
      <c s="568"/>
      <c s="568"/>
      <c s="1643">
        <v>11</v>
      </c>
    </row>
    <row r="166" spans="1:32" s="1643" customFormat="1" ht="11.55" customHeight="1">
      <c r="A166" s="989"/>
      <c s="1638"/>
      <c s="1638"/>
      <c s="353"/>
      <c r="K166" s="1162"/>
      <c s="1638"/>
      <c s="1638"/>
      <c s="1162"/>
      <c s="1162"/>
      <c s="1162"/>
      <c s="1162"/>
      <c s="1638"/>
      <c s="1162"/>
      <c s="1162"/>
      <c s="546"/>
      <c s="1162"/>
      <c s="1162"/>
      <c s="1162"/>
      <c s="1162"/>
      <c s="1162"/>
      <c s="1634"/>
      <c s="568"/>
      <c s="568"/>
      <c s="568"/>
      <c s="568"/>
      <c s="1643">
        <v>11</v>
      </c>
    </row>
    <row r="167" spans="1:32" s="1643" customFormat="1" ht="11.55" customHeight="1">
      <c r="A167" s="989"/>
      <c s="1638"/>
      <c s="1638"/>
      <c s="353"/>
      <c r="K167" s="1162"/>
      <c s="1638"/>
      <c s="1638"/>
      <c s="1162"/>
      <c s="1162"/>
      <c s="1162"/>
      <c s="1162"/>
      <c s="1638"/>
      <c s="1162"/>
      <c s="1162"/>
      <c s="546"/>
      <c s="1162"/>
      <c s="1162"/>
      <c s="1162"/>
      <c s="1162"/>
      <c s="1162"/>
      <c s="1634"/>
      <c s="568"/>
      <c s="568"/>
      <c s="568"/>
      <c s="568"/>
      <c s="1643">
        <v>11</v>
      </c>
    </row>
    <row r="168" spans="1:32" s="1643" customFormat="1" ht="11.55" customHeight="1">
      <c r="A168" s="989"/>
      <c s="1638"/>
      <c s="1638"/>
      <c s="353"/>
      <c r="K168" s="1162"/>
      <c s="1638"/>
      <c s="1638"/>
      <c s="1162"/>
      <c s="1162"/>
      <c s="1162"/>
      <c s="1162"/>
      <c s="1638"/>
      <c s="1162"/>
      <c s="1162"/>
      <c s="546"/>
      <c s="1162"/>
      <c s="1162"/>
      <c s="1162"/>
      <c s="1162"/>
      <c s="1162"/>
      <c s="1634"/>
      <c s="568"/>
      <c s="568"/>
      <c s="568"/>
      <c s="568"/>
      <c s="1643">
        <v>11</v>
      </c>
    </row>
    <row r="169" spans="1:32" s="1643" customFormat="1" ht="11.55" customHeight="1">
      <c r="A169" s="989"/>
      <c s="1638"/>
      <c s="1638"/>
      <c s="353"/>
      <c r="K169" s="1162"/>
      <c s="1638"/>
      <c s="1638"/>
      <c s="1162"/>
      <c s="1162"/>
      <c s="1162"/>
      <c s="1162"/>
      <c s="1638"/>
      <c s="1162"/>
      <c s="1162"/>
      <c s="546"/>
      <c s="1162"/>
      <c s="1162"/>
      <c s="1162"/>
      <c s="1162"/>
      <c s="1162"/>
      <c s="1634"/>
      <c s="568"/>
      <c s="568"/>
      <c s="568"/>
      <c s="568"/>
      <c s="1643">
        <v>11</v>
      </c>
    </row>
    <row r="170" spans="1:32" s="1643" customFormat="1" ht="11.55" customHeight="1">
      <c r="A170" s="989"/>
      <c s="1638"/>
      <c s="1638"/>
      <c s="353"/>
      <c r="K170" s="1162"/>
      <c s="1638"/>
      <c s="1638"/>
      <c s="1162"/>
      <c s="1162"/>
      <c s="1162"/>
      <c s="1162"/>
      <c s="1638"/>
      <c s="1162"/>
      <c s="1162"/>
      <c s="546"/>
      <c s="1162"/>
      <c s="1162"/>
      <c s="1162"/>
      <c s="1162"/>
      <c s="1162"/>
      <c s="1634"/>
      <c s="568"/>
      <c s="568"/>
      <c s="568"/>
      <c s="568"/>
      <c s="1643">
        <v>11</v>
      </c>
    </row>
    <row r="171" spans="1:32" s="1643" customFormat="1" ht="11.55" customHeight="1">
      <c r="A171" s="989"/>
      <c s="1638"/>
      <c s="1638"/>
      <c s="353"/>
      <c r="K171" s="1162"/>
      <c s="1638"/>
      <c s="1638"/>
      <c s="1162"/>
      <c s="1162"/>
      <c s="1162"/>
      <c s="1162"/>
      <c s="1638"/>
      <c s="1162"/>
      <c s="1162"/>
      <c s="546"/>
      <c s="1162"/>
      <c s="1162"/>
      <c s="1162"/>
      <c s="1162"/>
      <c s="1162"/>
      <c s="1634"/>
      <c s="568"/>
      <c s="568"/>
      <c s="568"/>
      <c s="568"/>
      <c s="1643">
        <v>11</v>
      </c>
    </row>
    <row r="172" spans="1:32" s="1643" customFormat="1" ht="11.55" customHeight="1">
      <c r="A172" s="989"/>
      <c s="1638"/>
      <c s="1638"/>
      <c s="353"/>
      <c r="K172" s="1162"/>
      <c s="1638"/>
      <c s="1638"/>
      <c s="1162"/>
      <c s="1162"/>
      <c s="1162"/>
      <c s="1162"/>
      <c s="1638"/>
      <c s="1162"/>
      <c s="1162"/>
      <c s="546"/>
      <c s="1162"/>
      <c s="1162"/>
      <c s="1162"/>
      <c s="1162"/>
      <c s="1162"/>
      <c s="1634"/>
      <c s="568"/>
      <c s="568"/>
      <c s="568"/>
      <c s="568"/>
      <c s="1643">
        <v>11</v>
      </c>
    </row>
    <row r="173" spans="1:32" s="1643" customFormat="1" ht="11.55" customHeight="1">
      <c r="A173" s="989"/>
      <c s="1638"/>
      <c s="1638"/>
      <c s="353"/>
      <c r="K173" s="1162"/>
      <c s="1638"/>
      <c s="1638"/>
      <c s="1162"/>
      <c s="1162"/>
      <c s="1162"/>
      <c s="1162"/>
      <c s="1638"/>
      <c s="1162"/>
      <c s="1162"/>
      <c s="546"/>
      <c s="1162"/>
      <c s="1162"/>
      <c s="1162"/>
      <c s="1162"/>
      <c s="1162"/>
      <c s="1634"/>
      <c s="568"/>
      <c s="568"/>
      <c s="568"/>
      <c s="568"/>
      <c s="1643">
        <v>11</v>
      </c>
    </row>
    <row r="174" spans="1:32" s="1643" customFormat="1" ht="11.55" customHeight="1">
      <c r="A174" s="989"/>
      <c s="1638"/>
      <c s="1638"/>
      <c s="353"/>
      <c r="K174" s="1162"/>
      <c s="1638"/>
      <c s="1638"/>
      <c s="1162"/>
      <c s="1162"/>
      <c s="1162"/>
      <c s="1162"/>
      <c s="1638"/>
      <c s="1162"/>
      <c s="1162"/>
      <c s="546"/>
      <c s="1162"/>
      <c s="1162"/>
      <c s="1162"/>
      <c s="1162"/>
      <c s="1162"/>
      <c s="1634"/>
      <c s="568"/>
      <c s="568"/>
      <c s="568"/>
      <c s="568"/>
      <c s="1643">
        <v>11</v>
      </c>
    </row>
    <row r="175" spans="1:32" s="1643" customFormat="1" ht="11.55" customHeight="1">
      <c r="A175" s="989"/>
      <c s="1638"/>
      <c s="1638"/>
      <c s="353"/>
      <c r="K175" s="1162"/>
      <c s="1638"/>
      <c s="1638"/>
      <c s="1162"/>
      <c s="1162"/>
      <c s="1162"/>
      <c s="1162"/>
      <c s="1638"/>
      <c s="1162"/>
      <c s="1162"/>
      <c s="546"/>
      <c s="1162"/>
      <c s="1162"/>
      <c s="1162"/>
      <c s="1162"/>
      <c s="1162"/>
      <c s="1634"/>
      <c s="568"/>
      <c s="568"/>
      <c s="568"/>
      <c s="568"/>
      <c s="1643">
        <v>11</v>
      </c>
    </row>
    <row r="176" spans="1:32" s="1643" customFormat="1" ht="11.55" customHeight="1">
      <c r="A176" s="989"/>
      <c s="1638"/>
      <c s="1638"/>
      <c s="353"/>
      <c r="K176" s="1162"/>
      <c s="1638"/>
      <c s="1638"/>
      <c s="1162"/>
      <c s="1162"/>
      <c s="1162"/>
      <c s="1162"/>
      <c s="1638"/>
      <c s="1162"/>
      <c s="1162"/>
      <c s="546"/>
      <c s="1162"/>
      <c s="1162"/>
      <c s="1162"/>
      <c s="1162"/>
      <c s="1162"/>
      <c s="1634"/>
      <c s="568"/>
      <c s="568"/>
      <c s="568"/>
      <c s="568"/>
      <c s="1643">
        <v>11</v>
      </c>
    </row>
    <row r="177" spans="1:32" s="1643" customFormat="1" ht="11.55" customHeight="1">
      <c r="A177" s="989"/>
      <c s="1638"/>
      <c s="1638"/>
      <c s="353"/>
      <c r="K177" s="1162"/>
      <c s="1638"/>
      <c s="1638"/>
      <c s="1162"/>
      <c s="1162"/>
      <c s="1162"/>
      <c s="1162"/>
      <c s="1638"/>
      <c s="1162"/>
      <c s="1162"/>
      <c s="546"/>
      <c s="1162"/>
      <c s="1162"/>
      <c s="1162"/>
      <c s="1162"/>
      <c s="1162"/>
      <c s="1634"/>
      <c s="568"/>
      <c s="568"/>
      <c s="568"/>
      <c s="568"/>
      <c s="1643">
        <v>11</v>
      </c>
    </row>
    <row r="178" spans="1:32" s="1643" customFormat="1" ht="11.55" customHeight="1">
      <c r="A178" s="989"/>
      <c s="1638"/>
      <c s="1638"/>
      <c s="353"/>
      <c r="K178" s="1162"/>
      <c s="1638"/>
      <c s="1638"/>
      <c s="1162"/>
      <c s="1162"/>
      <c s="1162"/>
      <c s="1162"/>
      <c s="1638"/>
      <c s="1162"/>
      <c s="1162"/>
      <c s="546"/>
      <c s="1162"/>
      <c s="1162"/>
      <c s="1162"/>
      <c s="1162"/>
      <c s="1162"/>
      <c s="1634"/>
      <c s="568"/>
      <c s="568"/>
      <c s="568"/>
      <c s="568"/>
      <c s="1643">
        <v>11</v>
      </c>
    </row>
    <row r="179" spans="1:32" s="1643" customFormat="1" ht="11.55" customHeight="1">
      <c r="A179" s="989"/>
      <c s="1638"/>
      <c s="1638"/>
      <c s="353"/>
      <c r="K179" s="1162"/>
      <c s="1638"/>
      <c s="1638"/>
      <c s="1162"/>
      <c s="1162"/>
      <c s="1162"/>
      <c s="1162"/>
      <c s="1638"/>
      <c s="1162"/>
      <c s="1162"/>
      <c s="546"/>
      <c s="1162"/>
      <c s="1162"/>
      <c s="1162"/>
      <c s="1162"/>
      <c s="1162"/>
      <c s="1634"/>
      <c s="568"/>
      <c s="568"/>
      <c s="568"/>
      <c s="568"/>
      <c s="1643">
        <v>11</v>
      </c>
    </row>
    <row r="180" spans="1:32" s="1643" customFormat="1" ht="11.55" customHeight="1">
      <c r="A180" s="989"/>
      <c s="1638"/>
      <c s="1638"/>
      <c s="353"/>
      <c r="K180" s="1162"/>
      <c s="1638"/>
      <c s="1638"/>
      <c s="1162"/>
      <c s="1162"/>
      <c s="1162"/>
      <c s="1162"/>
      <c s="1638"/>
      <c s="1162"/>
      <c s="1162"/>
      <c s="546"/>
      <c s="1162"/>
      <c s="1162"/>
      <c s="1162"/>
      <c s="1162"/>
      <c s="1162"/>
      <c s="1634"/>
      <c s="568"/>
      <c s="568"/>
      <c s="568"/>
      <c s="568"/>
      <c s="1643">
        <v>11</v>
      </c>
    </row>
    <row r="181" spans="1:32" s="1643" customFormat="1" ht="11.55" customHeight="1">
      <c r="A181" s="989"/>
      <c s="1638"/>
      <c s="1638"/>
      <c s="353"/>
      <c r="K181" s="1162"/>
      <c s="1638"/>
      <c s="1638"/>
      <c s="1162"/>
      <c s="1162"/>
      <c s="1162"/>
      <c s="1162"/>
      <c s="1638"/>
      <c s="1162"/>
      <c s="1162"/>
      <c s="546"/>
      <c s="1162"/>
      <c s="1162"/>
      <c s="1162"/>
      <c s="1162"/>
      <c s="1162"/>
      <c s="1634"/>
      <c s="568"/>
      <c s="568"/>
      <c s="568"/>
      <c s="568"/>
      <c s="1643">
        <v>11</v>
      </c>
    </row>
    <row r="182" spans="1:32" s="1643" customFormat="1" ht="11.55" customHeight="1">
      <c r="A182" s="989"/>
      <c s="1638"/>
      <c s="1638"/>
      <c s="353"/>
      <c r="K182" s="1162"/>
      <c s="1638"/>
      <c s="1638"/>
      <c s="1162"/>
      <c s="1162"/>
      <c s="1162"/>
      <c s="1162"/>
      <c s="1638"/>
      <c s="1162"/>
      <c s="1162"/>
      <c s="546"/>
      <c s="1162"/>
      <c s="1162"/>
      <c s="1162"/>
      <c s="1162"/>
      <c s="1162"/>
      <c s="1634"/>
      <c s="568"/>
      <c s="568"/>
      <c s="568"/>
      <c s="568"/>
      <c s="1643">
        <v>11</v>
      </c>
    </row>
    <row r="183" spans="1:32" s="1643" customFormat="1" ht="11.55" customHeight="1">
      <c r="A183" s="989"/>
      <c s="1638"/>
      <c s="1638"/>
      <c s="353"/>
      <c r="K183" s="1162"/>
      <c s="1638"/>
      <c s="1638"/>
      <c s="1162"/>
      <c s="1162"/>
      <c s="1162"/>
      <c s="1162"/>
      <c s="1638"/>
      <c s="1162"/>
      <c s="1162"/>
      <c s="546"/>
      <c s="1162"/>
      <c s="1162"/>
      <c s="1162"/>
      <c s="1162"/>
      <c s="1162"/>
      <c s="1634"/>
      <c s="568"/>
      <c s="568"/>
      <c s="568"/>
      <c s="568"/>
      <c s="1643">
        <v>11</v>
      </c>
    </row>
    <row r="184" spans="1:32" s="1643" customFormat="1" ht="11.55" customHeight="1">
      <c r="A184" s="989"/>
      <c s="1638"/>
      <c s="1638"/>
      <c s="353"/>
      <c r="K184" s="1162"/>
      <c s="1638"/>
      <c s="1638"/>
      <c s="1162"/>
      <c s="1162"/>
      <c s="1162"/>
      <c s="1162"/>
      <c s="1638"/>
      <c s="1162"/>
      <c s="1162"/>
      <c s="546"/>
      <c s="1162"/>
      <c s="1162"/>
      <c s="1162"/>
      <c s="1162"/>
      <c s="1162"/>
      <c s="1634"/>
      <c s="568"/>
      <c s="568"/>
      <c s="568"/>
      <c s="568"/>
      <c s="1643">
        <v>11</v>
      </c>
    </row>
    <row r="185" spans="1:32" s="1643" customFormat="1" ht="11.55" customHeight="1">
      <c r="A185" s="989"/>
      <c s="1638"/>
      <c s="1638"/>
      <c s="353"/>
      <c r="K185" s="1162"/>
      <c s="1638"/>
      <c s="1638"/>
      <c s="1162"/>
      <c s="1162"/>
      <c s="1162"/>
      <c s="1162"/>
      <c s="1638"/>
      <c s="1162"/>
      <c s="1162"/>
      <c s="546"/>
      <c s="1162"/>
      <c s="1162"/>
      <c s="1162"/>
      <c s="1162"/>
      <c s="1162"/>
      <c s="1634"/>
      <c s="568"/>
      <c s="568"/>
      <c s="568"/>
      <c s="568"/>
      <c s="1643">
        <v>11</v>
      </c>
    </row>
    <row r="186" spans="1:32" s="1643" customFormat="1" ht="11.55" customHeight="1">
      <c r="A186" s="989"/>
      <c s="1638"/>
      <c s="1638"/>
      <c s="353"/>
      <c r="K186" s="1162"/>
      <c s="1638"/>
      <c s="1638"/>
      <c s="1162"/>
      <c s="1162"/>
      <c s="1162"/>
      <c s="1162"/>
      <c s="1638"/>
      <c s="1162"/>
      <c s="1162"/>
      <c s="546"/>
      <c s="1162"/>
      <c s="1162"/>
      <c s="1162"/>
      <c s="1162"/>
      <c s="1162"/>
      <c s="1634"/>
      <c s="568"/>
      <c s="568"/>
      <c s="568"/>
      <c s="568"/>
      <c s="1643">
        <v>11</v>
      </c>
    </row>
    <row r="187" spans="1:32" s="1643" customFormat="1" ht="11.55" customHeight="1">
      <c r="A187" s="989"/>
      <c s="1638"/>
      <c s="1638"/>
      <c s="353"/>
      <c r="K187" s="1162"/>
      <c s="1638"/>
      <c s="1638"/>
      <c s="1162"/>
      <c s="1162"/>
      <c s="1162"/>
      <c s="1162"/>
      <c s="1638"/>
      <c s="1162"/>
      <c s="1162"/>
      <c s="546"/>
      <c s="1162"/>
      <c s="1162"/>
      <c s="1162"/>
      <c s="1162"/>
      <c s="1162"/>
      <c s="1634"/>
      <c s="568"/>
      <c s="568"/>
      <c s="568"/>
      <c s="568"/>
      <c s="1643">
        <v>11</v>
      </c>
    </row>
    <row r="188" spans="1:32" s="1643" customFormat="1" ht="11.55" customHeight="1">
      <c r="A188" s="989"/>
      <c s="1638"/>
      <c s="1638"/>
      <c s="353"/>
      <c r="K188" s="1162"/>
      <c s="1638"/>
      <c s="1638"/>
      <c s="1162"/>
      <c s="1162"/>
      <c s="1162"/>
      <c s="1162"/>
      <c s="1638"/>
      <c s="1162"/>
      <c s="1162"/>
      <c s="546"/>
      <c s="1162"/>
      <c s="1162"/>
      <c s="1162"/>
      <c s="1162"/>
      <c s="1162"/>
      <c s="1634"/>
      <c s="568"/>
      <c s="568"/>
      <c s="568"/>
      <c s="568"/>
      <c s="1643">
        <v>11</v>
      </c>
    </row>
    <row r="189" spans="1:32" s="1643" customFormat="1" ht="11.55" customHeight="1">
      <c r="A189" s="989"/>
      <c s="1638"/>
      <c s="1638"/>
      <c s="353"/>
      <c r="K189" s="1162"/>
      <c s="1638"/>
      <c s="1638"/>
      <c s="1162"/>
      <c s="1162"/>
      <c s="1162"/>
      <c s="1162"/>
      <c s="1638"/>
      <c s="1162"/>
      <c s="1162"/>
      <c s="546"/>
      <c s="1162"/>
      <c s="1162"/>
      <c s="1162"/>
      <c s="1162"/>
      <c s="1162"/>
      <c s="1634"/>
      <c s="568"/>
      <c s="568"/>
      <c s="568"/>
      <c s="568"/>
      <c s="1643">
        <v>11</v>
      </c>
    </row>
    <row r="190" spans="1:32" s="1643" customFormat="1" ht="11.55" customHeight="1">
      <c r="A190" s="989"/>
      <c s="1638"/>
      <c s="1638"/>
      <c s="353"/>
      <c r="K190" s="1162"/>
      <c s="1638"/>
      <c s="1638"/>
      <c s="1162"/>
      <c s="1162"/>
      <c s="1162"/>
      <c s="1162"/>
      <c s="1638"/>
      <c s="1162"/>
      <c s="1162"/>
      <c s="546"/>
      <c s="1162"/>
      <c s="1162"/>
      <c s="1162"/>
      <c s="1162"/>
      <c s="1162"/>
      <c s="1634"/>
      <c s="568"/>
      <c s="568"/>
      <c s="568"/>
      <c s="568"/>
      <c s="1643">
        <v>11</v>
      </c>
    </row>
    <row r="191" spans="1:32" s="1643" customFormat="1" ht="11.55" customHeight="1">
      <c r="A191" s="989"/>
      <c s="1638"/>
      <c s="1638"/>
      <c s="353"/>
      <c r="K191" s="1162"/>
      <c s="1638"/>
      <c s="1638"/>
      <c s="1162"/>
      <c s="1162"/>
      <c s="1162"/>
      <c s="1162"/>
      <c s="1638"/>
      <c s="1162"/>
      <c s="1162"/>
      <c s="546"/>
      <c s="1162"/>
      <c s="1162"/>
      <c s="1162"/>
      <c s="1162"/>
      <c s="1162"/>
      <c s="1634"/>
      <c s="568"/>
      <c s="568"/>
      <c s="568"/>
      <c s="568"/>
      <c s="1643">
        <v>11</v>
      </c>
    </row>
    <row r="192" spans="1:32" s="1643" customFormat="1" ht="11.55" customHeight="1">
      <c r="A192" s="989"/>
      <c s="1638"/>
      <c s="1638"/>
      <c s="353"/>
      <c r="K192" s="1162"/>
      <c s="1638"/>
      <c s="1638"/>
      <c s="1162"/>
      <c s="1162"/>
      <c s="1162"/>
      <c s="1162"/>
      <c s="1638"/>
      <c s="1162"/>
      <c s="1162"/>
      <c s="546"/>
      <c s="1162"/>
      <c s="1162"/>
      <c s="1162"/>
      <c s="1162"/>
      <c s="1162"/>
      <c s="1634"/>
      <c s="568"/>
      <c s="568"/>
      <c s="568"/>
      <c s="568"/>
      <c s="1643">
        <v>11</v>
      </c>
    </row>
    <row r="193" spans="1:32" s="1643" customFormat="1" ht="11.55" customHeight="1">
      <c r="A193" s="989"/>
      <c s="1638"/>
      <c s="1638"/>
      <c s="353"/>
      <c r="K193" s="1162"/>
      <c s="1638"/>
      <c s="1638"/>
      <c s="1162"/>
      <c s="1162"/>
      <c s="1162"/>
      <c s="1162"/>
      <c s="1638"/>
      <c s="1162"/>
      <c s="1162"/>
      <c s="546"/>
      <c s="1162"/>
      <c s="1162"/>
      <c s="1162"/>
      <c s="1162"/>
      <c s="1162"/>
      <c s="1634"/>
      <c s="568"/>
      <c s="568"/>
      <c s="568"/>
      <c s="568"/>
      <c s="1643">
        <v>11</v>
      </c>
    </row>
    <row r="194" spans="1:32" s="1643" customFormat="1" ht="11.55" customHeight="1">
      <c r="A194" s="989"/>
      <c s="1638"/>
      <c s="1638"/>
      <c s="353"/>
      <c r="K194" s="1162"/>
      <c s="1638"/>
      <c s="1638"/>
      <c s="1162"/>
      <c s="1162"/>
      <c s="1162"/>
      <c s="1162"/>
      <c s="1638"/>
      <c s="1162"/>
      <c s="1162"/>
      <c s="546"/>
      <c s="1162"/>
      <c s="1162"/>
      <c s="1162"/>
      <c s="1162"/>
      <c s="1162"/>
      <c s="1634"/>
      <c s="568"/>
      <c s="568"/>
      <c s="568"/>
      <c s="568"/>
      <c s="1643">
        <v>11</v>
      </c>
    </row>
    <row r="195" spans="1:32" s="1643" customFormat="1" ht="11.55" customHeight="1">
      <c r="A195" s="989"/>
      <c s="1638"/>
      <c s="1638"/>
      <c s="353"/>
      <c r="K195" s="1162"/>
      <c s="1638"/>
      <c s="1638"/>
      <c s="1162"/>
      <c s="1162"/>
      <c s="1162"/>
      <c s="1162"/>
      <c s="1638"/>
      <c s="1162"/>
      <c s="1162"/>
      <c s="546"/>
      <c s="1162"/>
      <c s="1162"/>
      <c s="1162"/>
      <c s="1162"/>
      <c s="1162"/>
      <c s="1634"/>
      <c s="568"/>
      <c s="568"/>
      <c s="568"/>
      <c s="568"/>
      <c s="1643">
        <v>11</v>
      </c>
    </row>
    <row r="196" spans="1:32" s="1643" customFormat="1" ht="11.55" customHeight="1">
      <c r="A196" s="989"/>
      <c s="1638"/>
      <c s="1638"/>
      <c s="353"/>
      <c r="K196" s="1162"/>
      <c s="1638"/>
      <c s="1638"/>
      <c s="1162"/>
      <c s="1162"/>
      <c s="1162"/>
      <c s="1162"/>
      <c s="1638"/>
      <c s="1162"/>
      <c s="1162"/>
      <c s="546"/>
      <c s="1162"/>
      <c s="1162"/>
      <c s="1162"/>
      <c s="1162"/>
      <c s="1162"/>
      <c s="1634"/>
      <c s="568"/>
      <c s="568"/>
      <c s="568"/>
      <c s="568"/>
      <c s="1643">
        <v>11</v>
      </c>
    </row>
    <row r="197" spans="1:32" s="1643" customFormat="1" ht="11.55" customHeight="1">
      <c r="A197" s="989"/>
      <c s="1638"/>
      <c s="1638"/>
      <c s="353"/>
      <c r="K197" s="1162"/>
      <c s="1638"/>
      <c s="1638"/>
      <c s="1162"/>
      <c s="1162"/>
      <c s="1162"/>
      <c s="1162"/>
      <c s="1638"/>
      <c s="1162"/>
      <c s="1162"/>
      <c s="546"/>
      <c s="1162"/>
      <c s="1162"/>
      <c s="1162"/>
      <c s="1162"/>
      <c s="1162"/>
      <c s="1634"/>
      <c s="568"/>
      <c s="568"/>
      <c s="568"/>
      <c s="568"/>
      <c s="1643">
        <v>11</v>
      </c>
    </row>
    <row r="198" spans="1:32" s="1643" customFormat="1" ht="11.55" customHeight="1">
      <c r="A198" s="989"/>
      <c s="1638"/>
      <c s="1638"/>
      <c s="353"/>
      <c r="K198" s="1162"/>
      <c s="1638"/>
      <c s="1638"/>
      <c s="1162"/>
      <c s="1162"/>
      <c s="1162"/>
      <c s="1162"/>
      <c s="1638"/>
      <c s="1162"/>
      <c s="1162"/>
      <c s="546"/>
      <c s="1162"/>
      <c s="1162"/>
      <c s="1162"/>
      <c s="1162"/>
      <c s="1162"/>
      <c s="1634"/>
      <c s="568"/>
      <c s="568"/>
      <c s="568"/>
      <c s="568"/>
      <c s="1643">
        <v>11</v>
      </c>
    </row>
    <row r="199" spans="1:32" s="1643" customFormat="1" ht="11.55" customHeight="1">
      <c r="A199" s="989"/>
      <c s="1638"/>
      <c s="1638"/>
      <c s="353"/>
      <c r="K199" s="1162"/>
      <c s="1638"/>
      <c s="1638"/>
      <c s="1162"/>
      <c s="1162"/>
      <c s="1162"/>
      <c s="1162"/>
      <c s="1638"/>
      <c s="1162"/>
      <c s="1162"/>
      <c s="546"/>
      <c s="1162"/>
      <c s="1162"/>
      <c s="1162"/>
      <c s="1162"/>
      <c s="1162"/>
      <c s="1634"/>
      <c s="568"/>
      <c s="568"/>
      <c s="568"/>
      <c s="568"/>
      <c s="1643">
        <v>11</v>
      </c>
    </row>
    <row r="200" spans="1:32" s="1643" customFormat="1" ht="11.55" customHeight="1">
      <c r="A200" s="989"/>
      <c s="1638"/>
      <c s="1638"/>
      <c s="353"/>
      <c r="K200" s="1162"/>
      <c s="1638"/>
      <c s="1638"/>
      <c s="1162"/>
      <c s="1162"/>
      <c s="1162"/>
      <c s="1162"/>
      <c s="1638"/>
      <c s="1162"/>
      <c s="1162"/>
      <c s="546"/>
      <c s="1162"/>
      <c s="1162"/>
      <c s="1162"/>
      <c s="1162"/>
      <c s="1162"/>
      <c s="1634"/>
      <c s="568"/>
      <c s="568"/>
      <c s="568"/>
      <c s="568"/>
      <c s="1643">
        <v>11</v>
      </c>
    </row>
    <row r="201" spans="1:32" s="1643" customFormat="1" ht="11.55" customHeight="1">
      <c r="A201" s="989"/>
      <c s="1638"/>
      <c s="1638"/>
      <c s="353"/>
      <c r="K201" s="1162"/>
      <c s="1638"/>
      <c s="1638"/>
      <c s="1162"/>
      <c s="1162"/>
      <c s="1162"/>
      <c s="1162"/>
      <c s="1638"/>
      <c s="1162"/>
      <c s="1162"/>
      <c s="546"/>
      <c s="1162"/>
      <c s="1162"/>
      <c s="1162"/>
      <c s="1162"/>
      <c s="1162"/>
      <c s="1634"/>
      <c s="568"/>
      <c s="568"/>
      <c s="568"/>
      <c s="568"/>
      <c s="1643">
        <v>11</v>
      </c>
    </row>
    <row r="202" spans="1:32" s="1643" customFormat="1" ht="11.55" customHeight="1">
      <c r="A202" s="989"/>
      <c s="1638"/>
      <c s="1638"/>
      <c s="353"/>
      <c r="K202" s="1162"/>
      <c s="1638"/>
      <c s="1638"/>
      <c s="1162"/>
      <c s="1162"/>
      <c s="1162"/>
      <c s="1162"/>
      <c s="1638"/>
      <c s="1162"/>
      <c s="1162"/>
      <c s="546"/>
      <c s="1162"/>
      <c s="1162"/>
      <c s="1162"/>
      <c s="1162"/>
      <c s="1162"/>
      <c s="1634"/>
      <c s="568"/>
      <c s="568"/>
      <c s="568"/>
      <c s="568"/>
      <c s="1643">
        <v>11</v>
      </c>
    </row>
    <row r="203" spans="1:32" s="1643" customFormat="1" ht="11.55" customHeight="1">
      <c r="A203" s="989"/>
      <c s="1638"/>
      <c s="1638"/>
      <c s="353"/>
      <c r="K203" s="1162"/>
      <c s="1638"/>
      <c s="1638"/>
      <c s="1162"/>
      <c s="1162"/>
      <c s="1162"/>
      <c s="1162"/>
      <c s="1638"/>
      <c s="1162"/>
      <c s="1162"/>
      <c s="546"/>
      <c s="1162"/>
      <c s="1162"/>
      <c s="1162"/>
      <c s="1162"/>
      <c s="1162"/>
      <c s="1634"/>
      <c s="568"/>
      <c s="568"/>
      <c s="568"/>
      <c s="568"/>
      <c s="1643">
        <v>11</v>
      </c>
    </row>
    <row r="204" spans="1:32" s="1643" customFormat="1" ht="11.55" customHeight="1">
      <c r="A204" s="989"/>
      <c s="1638"/>
      <c s="1638"/>
      <c s="353"/>
      <c r="K204" s="1162"/>
      <c s="1638"/>
      <c s="1638"/>
      <c s="1162"/>
      <c s="1162"/>
      <c s="1162"/>
      <c s="1162"/>
      <c s="1638"/>
      <c s="1162"/>
      <c s="1162"/>
      <c s="546"/>
      <c s="1162"/>
      <c s="1162"/>
      <c s="1162"/>
      <c s="1162"/>
      <c s="1162"/>
      <c s="1634"/>
      <c s="568"/>
      <c s="568"/>
      <c s="568"/>
      <c s="568"/>
      <c s="1643">
        <v>11</v>
      </c>
    </row>
    <row r="205" spans="1:32" s="1643" customFormat="1" ht="11.55" customHeight="1">
      <c r="A205" s="989"/>
      <c s="1638"/>
      <c s="1638"/>
      <c s="353"/>
      <c r="K205" s="1162"/>
      <c s="1638"/>
      <c s="1638"/>
      <c s="1162"/>
      <c s="1162"/>
      <c s="1162"/>
      <c s="1162"/>
      <c s="1638"/>
      <c s="1162"/>
      <c s="1162"/>
      <c s="546"/>
      <c s="1162"/>
      <c s="1162"/>
      <c s="1162"/>
      <c s="1162"/>
      <c s="1162"/>
      <c s="1634"/>
      <c s="568"/>
      <c s="568"/>
      <c s="568"/>
      <c s="568"/>
      <c s="1643">
        <v>11</v>
      </c>
    </row>
    <row r="206" spans="1:32" s="1643" customFormat="1" ht="11.55" customHeight="1">
      <c r="A206" s="989"/>
      <c s="1638"/>
      <c s="1638"/>
      <c s="353"/>
      <c r="K206" s="1162"/>
      <c s="1638"/>
      <c s="1638"/>
      <c s="1162"/>
      <c s="1162"/>
      <c s="1162"/>
      <c s="1162"/>
      <c s="1638"/>
      <c s="1162"/>
      <c s="1162"/>
      <c s="546"/>
      <c s="1162"/>
      <c s="1162"/>
      <c s="1162"/>
      <c s="1162"/>
      <c s="1162"/>
      <c s="1634"/>
      <c s="568"/>
      <c s="568"/>
      <c s="568"/>
      <c s="568"/>
      <c s="1643">
        <v>11</v>
      </c>
    </row>
    <row r="207" spans="1:32" s="1643" customFormat="1" ht="11.55" customHeight="1">
      <c r="A207" s="989"/>
      <c s="1638"/>
      <c s="1638"/>
      <c s="353"/>
      <c r="K207" s="1162"/>
      <c s="1638"/>
      <c s="1638"/>
      <c s="1162"/>
      <c s="1162"/>
      <c s="1162"/>
      <c s="1162"/>
      <c s="1638"/>
      <c s="1162"/>
      <c s="1162"/>
      <c s="546"/>
      <c s="1162"/>
      <c s="1162"/>
      <c s="1162"/>
      <c s="1162"/>
      <c s="1162"/>
      <c s="1634"/>
      <c s="568"/>
      <c s="568"/>
      <c s="568"/>
      <c s="568"/>
      <c s="1643">
        <v>11</v>
      </c>
    </row>
    <row r="208" spans="1:32" s="1643" customFormat="1" ht="11.55" customHeight="1">
      <c r="A208" s="989"/>
      <c s="1638"/>
      <c s="1638"/>
      <c s="353"/>
      <c r="K208" s="1162"/>
      <c s="1638"/>
      <c s="1638"/>
      <c s="1162"/>
      <c s="1162"/>
      <c s="1162"/>
      <c s="1162"/>
      <c s="1638"/>
      <c s="1162"/>
      <c s="1162"/>
      <c s="546"/>
      <c s="1162"/>
      <c s="1162"/>
      <c s="1162"/>
      <c s="1162"/>
      <c s="1162"/>
      <c s="1634"/>
      <c s="568"/>
      <c s="568"/>
      <c s="568"/>
      <c s="568"/>
      <c s="1643">
        <v>11</v>
      </c>
    </row>
    <row r="209" spans="1:32" s="1643" customFormat="1" ht="11.55" customHeight="1">
      <c r="A209" s="989"/>
      <c s="1638"/>
      <c s="1638"/>
      <c s="353"/>
      <c r="K209" s="1162"/>
      <c s="1638"/>
      <c s="1638"/>
      <c s="1162"/>
      <c s="1162"/>
      <c s="1162"/>
      <c s="1162"/>
      <c s="1638"/>
      <c s="1162"/>
      <c s="1162"/>
      <c s="546"/>
      <c s="1162"/>
      <c s="1162"/>
      <c s="1162"/>
      <c s="1162"/>
      <c s="1162"/>
      <c s="1634"/>
      <c s="568"/>
      <c s="568"/>
      <c s="568"/>
      <c s="568"/>
      <c s="1643">
        <v>11</v>
      </c>
    </row>
    <row r="210" spans="1:32" s="1643" customFormat="1" ht="11.55" customHeight="1">
      <c r="A210" s="989"/>
      <c s="1638"/>
      <c s="1638"/>
      <c s="353"/>
      <c r="K210" s="1162"/>
      <c s="1638"/>
      <c s="1638"/>
      <c s="1162"/>
      <c s="1162"/>
      <c s="1162"/>
      <c s="1162"/>
      <c s="1638"/>
      <c s="1162"/>
      <c s="1162"/>
      <c s="546"/>
      <c s="1162"/>
      <c s="1162"/>
      <c s="1162"/>
      <c s="1162"/>
      <c s="1162"/>
      <c s="1634"/>
      <c s="568"/>
      <c s="568"/>
      <c s="568"/>
      <c s="568"/>
      <c s="1643">
        <v>11</v>
      </c>
    </row>
    <row r="211" spans="1:32" s="1643" customFormat="1" ht="11.55" customHeight="1">
      <c r="A211" s="989"/>
      <c s="1638"/>
      <c s="1638"/>
      <c s="353"/>
      <c r="K211" s="1162"/>
      <c s="1638"/>
      <c s="1638"/>
      <c s="1162"/>
      <c s="1162"/>
      <c s="1162"/>
      <c s="1162"/>
      <c s="1638"/>
      <c s="1162"/>
      <c s="1162"/>
      <c s="546"/>
      <c s="1162"/>
      <c s="1162"/>
      <c s="1162"/>
      <c s="1162"/>
      <c s="1162"/>
      <c s="1634"/>
      <c s="568"/>
      <c s="568"/>
      <c s="568"/>
      <c s="568"/>
      <c s="1643">
        <v>11</v>
      </c>
    </row>
    <row r="212" spans="1:32" s="1643" customFormat="1" ht="11.55" customHeight="1">
      <c r="A212" s="989"/>
      <c s="1638"/>
      <c s="1638"/>
      <c s="353"/>
      <c r="K212" s="1162"/>
      <c s="1638"/>
      <c s="1638"/>
      <c s="1162"/>
      <c s="1162"/>
      <c s="1162"/>
      <c s="1162"/>
      <c s="1638"/>
      <c s="1162"/>
      <c s="1162"/>
      <c s="546"/>
      <c s="1162"/>
      <c s="1162"/>
      <c s="1162"/>
      <c s="1162"/>
      <c s="1162"/>
      <c s="1634"/>
      <c s="568"/>
      <c s="568"/>
      <c s="568"/>
      <c s="568"/>
      <c s="1643">
        <v>11</v>
      </c>
    </row>
    <row r="213" spans="1:32" s="1643" customFormat="1" ht="11.55" customHeight="1">
      <c r="A213" s="989"/>
      <c s="1638"/>
      <c s="1638"/>
      <c s="353"/>
      <c r="K213" s="1162"/>
      <c s="1638"/>
      <c s="1638"/>
      <c s="1162"/>
      <c s="1162"/>
      <c s="1162"/>
      <c s="1162"/>
      <c s="1638"/>
      <c s="1162"/>
      <c s="1162"/>
      <c s="546"/>
      <c s="1162"/>
      <c s="1162"/>
      <c s="1162"/>
      <c s="1162"/>
      <c s="1162"/>
      <c s="1634"/>
      <c s="568"/>
      <c s="568"/>
      <c s="568"/>
      <c s="568"/>
      <c s="1643">
        <v>11</v>
      </c>
    </row>
    <row r="214" spans="1:32" s="1643" customFormat="1" ht="11.55" customHeight="1">
      <c r="A214" s="989"/>
      <c s="1638"/>
      <c s="1638"/>
      <c s="353"/>
      <c r="K214" s="1162"/>
      <c s="1638"/>
      <c s="1638"/>
      <c s="1162"/>
      <c s="1162"/>
      <c s="1162"/>
      <c s="1162"/>
      <c s="1638"/>
      <c s="1162"/>
      <c s="1162"/>
      <c s="546"/>
      <c s="1162"/>
      <c s="1162"/>
      <c s="1162"/>
      <c s="1162"/>
      <c s="1162"/>
      <c s="1634"/>
      <c s="568"/>
      <c s="568"/>
      <c s="568"/>
      <c s="568"/>
      <c s="1643">
        <v>11</v>
      </c>
    </row>
    <row r="215" spans="1:32" s="1643" customFormat="1" ht="11.55" customHeight="1">
      <c r="A215" s="989"/>
      <c s="1638"/>
      <c s="1638"/>
      <c s="353"/>
      <c r="K215" s="1162"/>
      <c s="1638"/>
      <c s="1638"/>
      <c s="1162"/>
      <c s="1162"/>
      <c s="1162"/>
      <c s="1162"/>
      <c s="1638"/>
      <c s="1162"/>
      <c s="1162"/>
      <c s="546"/>
      <c s="1162"/>
      <c s="1162"/>
      <c s="1162"/>
      <c s="1162"/>
      <c s="1162"/>
      <c s="1634"/>
      <c s="568"/>
      <c s="568"/>
      <c s="568"/>
      <c s="568"/>
      <c s="1643">
        <v>11</v>
      </c>
    </row>
    <row r="216" spans="1:32" s="1643" customFormat="1" ht="11.55" customHeight="1">
      <c r="A216" s="989"/>
      <c s="1638"/>
      <c s="1638"/>
      <c s="353"/>
      <c r="K216" s="1162"/>
      <c s="1638"/>
      <c s="1638"/>
      <c s="1162"/>
      <c s="1162"/>
      <c s="1162"/>
      <c s="1162"/>
      <c s="1638"/>
      <c s="1162"/>
      <c s="1162"/>
      <c s="546"/>
      <c s="1162"/>
      <c s="1162"/>
      <c s="1162"/>
      <c s="1162"/>
      <c s="1162"/>
      <c s="1634"/>
      <c s="568"/>
      <c s="568"/>
      <c s="568"/>
      <c s="568"/>
      <c s="1643">
        <v>11</v>
      </c>
    </row>
    <row r="217" spans="1:32" s="1643" customFormat="1" ht="11.55" customHeight="1">
      <c r="A217" s="989"/>
      <c s="1638"/>
      <c s="1638"/>
      <c s="353"/>
      <c r="K217" s="1162"/>
      <c s="1638"/>
      <c s="1638"/>
      <c s="1162"/>
      <c s="1162"/>
      <c s="1162"/>
      <c s="1162"/>
      <c s="1638"/>
      <c s="1162"/>
      <c s="1162"/>
      <c s="546"/>
      <c s="1162"/>
      <c s="1162"/>
      <c s="1162"/>
      <c s="1162"/>
      <c s="1162"/>
      <c s="1634"/>
      <c s="568"/>
      <c s="568"/>
      <c s="568"/>
      <c s="568"/>
      <c s="1643">
        <v>11</v>
      </c>
    </row>
    <row r="218" spans="1:32" s="1643" customFormat="1" ht="11.55" customHeight="1">
      <c r="A218" s="989"/>
      <c s="1638"/>
      <c s="1638"/>
      <c s="353"/>
      <c r="K218" s="1162"/>
      <c s="1638"/>
      <c s="1638"/>
      <c s="1162"/>
      <c s="1162"/>
      <c s="1162"/>
      <c s="1162"/>
      <c s="1638"/>
      <c s="1162"/>
      <c s="1162"/>
      <c s="546"/>
      <c s="1162"/>
      <c s="1162"/>
      <c s="1162"/>
      <c s="1162"/>
      <c s="1162"/>
      <c s="1634"/>
      <c s="568"/>
      <c s="568"/>
      <c s="568"/>
      <c s="568"/>
      <c s="1643">
        <v>11</v>
      </c>
    </row>
    <row r="219" spans="1:32" s="1643" customFormat="1" ht="11.55" customHeight="1">
      <c r="A219" s="989"/>
      <c s="1638"/>
      <c s="1638"/>
      <c s="353"/>
      <c r="K219" s="1162"/>
      <c s="1638"/>
      <c s="1638"/>
      <c s="1162"/>
      <c s="1162"/>
      <c s="1162"/>
      <c s="1162"/>
      <c s="1638"/>
      <c s="1162"/>
      <c s="1162"/>
      <c s="546"/>
      <c s="1162"/>
      <c s="1162"/>
      <c s="1162"/>
      <c s="1162"/>
      <c s="1162"/>
      <c s="1634"/>
      <c s="568"/>
      <c s="568"/>
      <c s="568"/>
      <c s="568"/>
      <c s="1643">
        <v>11</v>
      </c>
    </row>
    <row r="220" spans="1:32" s="1643" customFormat="1" ht="11.55" customHeight="1">
      <c r="A220" s="989"/>
      <c s="1638"/>
      <c s="1638"/>
      <c s="353"/>
      <c r="K220" s="1162"/>
      <c s="1638"/>
      <c s="1638"/>
      <c s="1162"/>
      <c s="1162"/>
      <c s="1162"/>
      <c s="1162"/>
      <c s="1638"/>
      <c s="1162"/>
      <c s="1162"/>
      <c s="546"/>
      <c s="1162"/>
      <c s="1162"/>
      <c s="1162"/>
      <c s="1162"/>
      <c s="1162"/>
      <c s="1634"/>
      <c s="568"/>
      <c s="568"/>
      <c s="568"/>
      <c s="568"/>
      <c s="1643">
        <v>11</v>
      </c>
    </row>
    <row r="221" spans="1:32" s="1643" customFormat="1" ht="11.55" customHeight="1">
      <c r="A221" s="989"/>
      <c s="1638"/>
      <c s="1638"/>
      <c s="353"/>
      <c r="K221" s="1162"/>
      <c s="1638"/>
      <c s="1638"/>
      <c s="1162"/>
      <c s="1162"/>
      <c s="1162"/>
      <c s="1162"/>
      <c s="1638"/>
      <c s="1162"/>
      <c s="1162"/>
      <c s="546"/>
      <c s="1162"/>
      <c s="1162"/>
      <c s="1162"/>
      <c s="1162"/>
      <c s="1162"/>
      <c s="1634"/>
      <c s="568"/>
      <c s="568"/>
      <c s="568"/>
      <c s="568"/>
      <c s="1643">
        <v>11</v>
      </c>
    </row>
    <row r="222" spans="1:32" s="1643" customFormat="1" ht="11.55" customHeight="1">
      <c r="A222" s="989"/>
      <c s="1638"/>
      <c s="1638"/>
      <c s="353"/>
      <c r="K222" s="1162"/>
      <c s="1638"/>
      <c s="1638"/>
      <c s="1162"/>
      <c s="1162"/>
      <c s="1162"/>
      <c s="1162"/>
      <c s="1638"/>
      <c s="1162"/>
      <c s="1162"/>
      <c s="546"/>
      <c s="1162"/>
      <c s="1162"/>
      <c s="1162"/>
      <c s="1162"/>
      <c s="1162"/>
      <c s="1634"/>
      <c s="568"/>
      <c s="568"/>
      <c s="568"/>
      <c s="568"/>
      <c s="1643">
        <v>11</v>
      </c>
    </row>
    <row r="223" spans="1:32" s="1643" customFormat="1" ht="11.55" customHeight="1">
      <c r="A223" s="989"/>
      <c s="1638"/>
      <c s="1638"/>
      <c s="353"/>
      <c r="K223" s="1162"/>
      <c s="1638"/>
      <c s="1638"/>
      <c s="1162"/>
      <c s="1162"/>
      <c s="1162"/>
      <c s="1162"/>
      <c s="1638"/>
      <c s="1162"/>
      <c s="1162"/>
      <c s="546"/>
      <c s="1162"/>
      <c s="1162"/>
      <c s="1162"/>
      <c s="1162"/>
      <c s="1162"/>
      <c s="1634"/>
      <c s="568"/>
      <c s="568"/>
      <c s="568"/>
      <c s="568"/>
      <c s="1643">
        <v>11</v>
      </c>
    </row>
    <row r="224" spans="1:32" s="1643" customFormat="1" ht="11.55" customHeight="1">
      <c r="A224" s="989"/>
      <c s="1638"/>
      <c s="1638"/>
      <c s="353"/>
      <c r="K224" s="1162"/>
      <c s="1638"/>
      <c s="1638"/>
      <c s="1162"/>
      <c s="1162"/>
      <c s="1162"/>
      <c s="1162"/>
      <c s="1638"/>
      <c s="1162"/>
      <c s="1162"/>
      <c s="546"/>
      <c s="1162"/>
      <c s="1162"/>
      <c s="1162"/>
      <c s="1162"/>
      <c s="1162"/>
      <c s="1634"/>
      <c s="568"/>
      <c s="568"/>
      <c s="568"/>
      <c s="568"/>
      <c s="1643">
        <v>11</v>
      </c>
    </row>
    <row r="225" spans="1:32" s="1643" customFormat="1" ht="11.55" customHeight="1">
      <c r="A225" s="989"/>
      <c s="1638"/>
      <c s="1638"/>
      <c s="353"/>
      <c r="K225" s="1162"/>
      <c s="1638"/>
      <c s="1638"/>
      <c s="1162"/>
      <c s="1162"/>
      <c s="1162"/>
      <c s="1162"/>
      <c s="1638"/>
      <c s="1162"/>
      <c s="1162"/>
      <c s="546"/>
      <c s="1162"/>
      <c s="1162"/>
      <c s="1162"/>
      <c s="1162"/>
      <c s="1162"/>
      <c s="1634"/>
      <c s="568"/>
      <c s="568"/>
      <c s="568"/>
      <c s="568"/>
      <c s="1643">
        <v>11</v>
      </c>
    </row>
    <row r="226" spans="1:32" s="1643" customFormat="1" ht="11.55" customHeight="1">
      <c r="A226" s="989"/>
      <c s="1638"/>
      <c s="1638"/>
      <c s="353"/>
      <c r="K226" s="1162"/>
      <c s="1638"/>
      <c s="1638"/>
      <c s="1162"/>
      <c s="1162"/>
      <c s="1162"/>
      <c s="1162"/>
      <c s="1638"/>
      <c s="1162"/>
      <c s="1162"/>
      <c s="546"/>
      <c s="1162"/>
      <c s="1162"/>
      <c s="1162"/>
      <c s="1162"/>
      <c s="1162"/>
      <c s="1634"/>
      <c s="568"/>
      <c s="568"/>
      <c s="568"/>
      <c s="568"/>
      <c s="1643">
        <v>11</v>
      </c>
    </row>
    <row r="227" spans="1:32" s="1643" customFormat="1" ht="11.55" customHeight="1">
      <c r="A227" s="989"/>
      <c s="1638"/>
      <c s="1638"/>
      <c s="353"/>
      <c r="K227" s="1162"/>
      <c s="1638"/>
      <c s="1638"/>
      <c s="1162"/>
      <c s="1162"/>
      <c s="1162"/>
      <c s="1162"/>
      <c s="1638"/>
      <c s="1162"/>
      <c s="1162"/>
      <c s="546"/>
      <c s="1162"/>
      <c s="1162"/>
      <c s="1162"/>
      <c s="1162"/>
      <c s="1162"/>
      <c s="1634"/>
      <c s="568"/>
      <c s="568"/>
      <c s="568"/>
      <c s="568"/>
      <c s="1643">
        <v>11</v>
      </c>
    </row>
    <row r="228" spans="1:32" s="1643" customFormat="1" ht="11.55" customHeight="1">
      <c r="A228" s="989"/>
      <c s="1638"/>
      <c s="1638"/>
      <c s="353"/>
      <c r="K228" s="1162"/>
      <c s="1638"/>
      <c s="1638"/>
      <c s="1162"/>
      <c s="1162"/>
      <c s="1162"/>
      <c s="1162"/>
      <c s="1638"/>
      <c s="1162"/>
      <c s="1162"/>
      <c s="546"/>
      <c s="1162"/>
      <c s="1162"/>
      <c s="1162"/>
      <c s="1162"/>
      <c s="1162"/>
      <c s="1634"/>
      <c s="568"/>
      <c s="568"/>
      <c s="568"/>
      <c s="568"/>
      <c s="1643">
        <v>11</v>
      </c>
    </row>
    <row r="229" spans="1:32" s="1643" customFormat="1" ht="11.55" customHeight="1">
      <c r="A229" s="989"/>
      <c s="1638"/>
      <c s="1638"/>
      <c s="353"/>
      <c r="K229" s="1162"/>
      <c s="1638"/>
      <c s="1638"/>
      <c s="1162"/>
      <c s="1162"/>
      <c s="1162"/>
      <c s="1162"/>
      <c s="1638"/>
      <c s="1162"/>
      <c s="1162"/>
      <c s="546"/>
      <c s="1162"/>
      <c s="1162"/>
      <c s="1162"/>
      <c s="1162"/>
      <c s="1162"/>
      <c s="1634"/>
      <c s="568"/>
      <c s="568"/>
      <c s="568"/>
      <c s="568"/>
      <c s="1643">
        <v>11</v>
      </c>
    </row>
    <row r="230" spans="1:32" s="1643" customFormat="1" ht="11.55" customHeight="1">
      <c r="A230" s="989"/>
      <c s="1638"/>
      <c s="1638"/>
      <c s="353"/>
      <c r="K230" s="1162"/>
      <c s="1638"/>
      <c s="1638"/>
      <c s="1162"/>
      <c s="1162"/>
      <c s="1162"/>
      <c s="1162"/>
      <c s="1638"/>
      <c s="1162"/>
      <c s="1162"/>
      <c s="546"/>
      <c s="1162"/>
      <c s="1162"/>
      <c s="1162"/>
      <c s="1162"/>
      <c s="1162"/>
      <c s="1634"/>
      <c s="568"/>
      <c s="568"/>
      <c s="568"/>
      <c s="568"/>
      <c s="1643">
        <v>11</v>
      </c>
    </row>
    <row r="231" spans="1:32" s="1643" customFormat="1" ht="11.55" customHeight="1">
      <c r="A231" s="989"/>
      <c s="1638"/>
      <c s="1638"/>
      <c s="353"/>
      <c r="K231" s="1162"/>
      <c s="1638"/>
      <c s="1638"/>
      <c s="1162"/>
      <c s="1162"/>
      <c s="1162"/>
      <c s="1162"/>
      <c s="1638"/>
      <c s="1162"/>
      <c s="1162"/>
      <c s="546"/>
      <c s="1162"/>
      <c s="1162"/>
      <c s="1162"/>
      <c s="1162"/>
      <c s="1162"/>
      <c s="1634"/>
      <c s="568"/>
      <c s="568"/>
      <c s="568"/>
      <c s="568"/>
      <c s="1643">
        <v>11</v>
      </c>
    </row>
    <row r="232" spans="1:32" s="1643" customFormat="1" ht="11.55" customHeight="1">
      <c r="A232" s="989"/>
      <c s="1638"/>
      <c s="1638"/>
      <c s="353"/>
      <c r="K232" s="1162"/>
      <c s="1638"/>
      <c s="1638"/>
      <c s="1162"/>
      <c s="1162"/>
      <c s="1162"/>
      <c s="1162"/>
      <c s="1638"/>
      <c s="1162"/>
      <c s="1162"/>
      <c s="546"/>
      <c s="1162"/>
      <c s="1162"/>
      <c s="1162"/>
      <c s="1162"/>
      <c s="1162"/>
      <c s="1634"/>
      <c s="568"/>
      <c s="568"/>
      <c s="568"/>
      <c s="568"/>
      <c s="1643">
        <v>11</v>
      </c>
    </row>
    <row r="233" spans="1:32" s="1643" customFormat="1" ht="11.55" customHeight="1">
      <c r="A233" s="989"/>
      <c s="1638"/>
      <c s="1638"/>
      <c s="353"/>
      <c r="K233" s="1162"/>
      <c s="1638"/>
      <c s="1638"/>
      <c s="1162"/>
      <c s="1162"/>
      <c s="1162"/>
      <c s="1162"/>
      <c s="1638"/>
      <c s="1162"/>
      <c s="1162"/>
      <c s="546"/>
      <c s="1162"/>
      <c s="1162"/>
      <c s="1162"/>
      <c s="1162"/>
      <c s="1162"/>
      <c s="1634"/>
      <c s="568"/>
      <c s="568"/>
      <c s="568"/>
      <c s="568"/>
      <c s="1643">
        <v>11</v>
      </c>
    </row>
    <row r="234" spans="1:32" s="1643" customFormat="1" ht="11.55" customHeight="1">
      <c r="A234" s="989"/>
      <c s="1638"/>
      <c s="1638"/>
      <c s="353"/>
      <c r="K234" s="1162"/>
      <c s="1638"/>
      <c s="1638"/>
      <c s="1162"/>
      <c s="1162"/>
      <c s="1162"/>
      <c s="1162"/>
      <c s="1638"/>
      <c s="1162"/>
      <c s="1162"/>
      <c s="546"/>
      <c s="1162"/>
      <c s="1162"/>
      <c s="1162"/>
      <c s="1162"/>
      <c s="1162"/>
      <c s="1634"/>
      <c s="568"/>
      <c s="568"/>
      <c s="568"/>
      <c s="568"/>
      <c s="1643">
        <v>11</v>
      </c>
    </row>
    <row r="235" spans="1:32" s="1643" customFormat="1" ht="11.55" customHeight="1">
      <c r="A235" s="989"/>
      <c s="1638"/>
      <c s="1638"/>
      <c s="353"/>
      <c r="K235" s="1162"/>
      <c s="1638"/>
      <c s="1638"/>
      <c s="1162"/>
      <c s="1162"/>
      <c s="1162"/>
      <c s="1162"/>
      <c s="1638"/>
      <c s="1162"/>
      <c s="1162"/>
      <c s="546"/>
      <c s="1162"/>
      <c s="1162"/>
      <c s="1162"/>
      <c s="1162"/>
      <c s="1162"/>
      <c s="1634"/>
      <c s="568"/>
      <c s="568"/>
      <c s="568"/>
      <c s="568"/>
      <c s="1643">
        <v>11</v>
      </c>
    </row>
    <row r="236" spans="1:32" s="1643" customFormat="1" ht="11.55" customHeight="1">
      <c r="A236" s="989"/>
      <c s="1638"/>
      <c s="1638"/>
      <c s="353"/>
      <c r="K236" s="1162"/>
      <c s="1638"/>
      <c s="1638"/>
      <c s="1162"/>
      <c s="1162"/>
      <c s="1162"/>
      <c s="1162"/>
      <c s="1638"/>
      <c s="1162"/>
      <c s="1162"/>
      <c s="546"/>
      <c s="1162"/>
      <c s="1162"/>
      <c s="1162"/>
      <c s="1162"/>
      <c s="1162"/>
      <c s="1634"/>
      <c s="568"/>
      <c s="568"/>
      <c s="568"/>
      <c s="568"/>
      <c s="1643">
        <v>11</v>
      </c>
    </row>
    <row r="237" spans="1:32" s="1643" customFormat="1" ht="11.55" customHeight="1">
      <c r="A237" s="989"/>
      <c s="1638"/>
      <c s="1638"/>
      <c s="353"/>
      <c r="K237" s="1162"/>
      <c s="1638"/>
      <c s="1638"/>
      <c s="1162"/>
      <c s="1162"/>
      <c s="1162"/>
      <c s="1162"/>
      <c s="1638"/>
      <c s="1162"/>
      <c s="1162"/>
      <c s="546"/>
      <c s="1162"/>
      <c s="1162"/>
      <c s="1162"/>
      <c s="1162"/>
      <c s="1162"/>
      <c s="1634"/>
      <c s="568"/>
      <c s="568"/>
      <c s="568"/>
      <c s="568"/>
      <c s="1643">
        <v>11</v>
      </c>
    </row>
    <row r="238" spans="1:32" s="1643" customFormat="1" ht="11.55" customHeight="1">
      <c r="A238" s="989"/>
      <c s="1638"/>
      <c s="1638"/>
      <c s="353"/>
      <c r="K238" s="1162"/>
      <c s="1638"/>
      <c s="1638"/>
      <c s="1162"/>
      <c s="1162"/>
      <c s="1162"/>
      <c s="1162"/>
      <c s="1638"/>
      <c s="1162"/>
      <c s="1162"/>
      <c s="546"/>
      <c s="1162"/>
      <c s="1162"/>
      <c s="1162"/>
      <c s="1162"/>
      <c s="1162"/>
      <c s="1634"/>
      <c s="568"/>
      <c s="568"/>
      <c s="568"/>
      <c s="568"/>
      <c s="1643">
        <v>11</v>
      </c>
    </row>
    <row r="239" spans="1:32" s="1643" customFormat="1" ht="11.55" customHeight="1">
      <c r="A239" s="989"/>
      <c s="1638"/>
      <c s="1638"/>
      <c s="353"/>
      <c r="K239" s="1162"/>
      <c s="1638"/>
      <c s="1638"/>
      <c s="1162"/>
      <c s="1162"/>
      <c s="1162"/>
      <c s="1162"/>
      <c s="1638"/>
      <c s="1162"/>
      <c s="1162"/>
      <c s="546"/>
      <c s="1162"/>
      <c s="1162"/>
      <c s="1162"/>
      <c s="1162"/>
      <c s="1162"/>
      <c s="1634"/>
      <c s="568"/>
      <c s="568"/>
      <c s="568"/>
      <c s="568"/>
      <c s="1643">
        <v>11</v>
      </c>
    </row>
    <row r="240" spans="1:32" s="1643" customFormat="1" ht="11.55" customHeight="1">
      <c r="A240" s="989"/>
      <c s="1638"/>
      <c s="1638"/>
      <c s="353"/>
      <c r="K240" s="1162"/>
      <c s="1638"/>
      <c s="1638"/>
      <c s="1162"/>
      <c s="1162"/>
      <c s="1162"/>
      <c s="1162"/>
      <c s="1638"/>
      <c s="1162"/>
      <c s="1162"/>
      <c s="546"/>
      <c s="1162"/>
      <c s="1162"/>
      <c s="1162"/>
      <c s="1162"/>
      <c s="1162"/>
      <c s="1634"/>
      <c s="568"/>
      <c s="568"/>
      <c s="568"/>
      <c s="568"/>
      <c s="1643">
        <v>11</v>
      </c>
    </row>
    <row r="241" spans="1:32" s="1643" customFormat="1" ht="11.55" customHeight="1">
      <c r="A241" s="989"/>
      <c s="1638"/>
      <c s="1638"/>
      <c s="353"/>
      <c r="K241" s="1162"/>
      <c s="1638"/>
      <c s="1638"/>
      <c s="1162"/>
      <c s="1162"/>
      <c s="1162"/>
      <c s="1162"/>
      <c s="1638"/>
      <c s="1162"/>
      <c s="1162"/>
      <c s="546"/>
      <c s="1162"/>
      <c s="1162"/>
      <c s="1162"/>
      <c s="1162"/>
      <c s="1162"/>
      <c s="1634"/>
      <c s="568"/>
      <c s="568"/>
      <c s="568"/>
      <c s="568"/>
      <c s="1643">
        <v>11</v>
      </c>
    </row>
    <row r="242" spans="1:32" s="1643" customFormat="1" ht="11.55" customHeight="1">
      <c r="A242" s="989"/>
      <c s="1638"/>
      <c s="1638"/>
      <c s="353"/>
      <c r="K242" s="1162"/>
      <c s="1638"/>
      <c s="1638"/>
      <c s="1162"/>
      <c s="1162"/>
      <c s="1162"/>
      <c s="1162"/>
      <c s="1638"/>
      <c s="1162"/>
      <c s="1162"/>
      <c s="546"/>
      <c s="1162"/>
      <c s="1162"/>
      <c s="1162"/>
      <c s="1162"/>
      <c s="1162"/>
      <c s="1634"/>
      <c s="568"/>
      <c s="568"/>
      <c s="568"/>
      <c s="568"/>
      <c s="1643">
        <v>11</v>
      </c>
    </row>
    <row r="243" spans="1:32" s="1643" customFormat="1" ht="11.55" customHeight="1">
      <c r="A243" s="989"/>
      <c s="1638"/>
      <c s="1638"/>
      <c s="353"/>
      <c r="K243" s="1162"/>
      <c s="1638"/>
      <c s="1638"/>
      <c s="1162"/>
      <c s="1162"/>
      <c s="1162"/>
      <c s="1162"/>
      <c s="1638"/>
      <c s="1162"/>
      <c s="1162"/>
      <c s="546"/>
      <c s="1162"/>
      <c s="1162"/>
      <c s="1162"/>
      <c s="1162"/>
      <c s="1162"/>
      <c s="1634"/>
      <c s="568"/>
      <c s="568"/>
      <c s="568"/>
      <c s="568"/>
      <c s="1643">
        <v>11</v>
      </c>
    </row>
    <row r="244" spans="1:32" s="1643" customFormat="1" ht="11.55" customHeight="1">
      <c r="A244" s="989"/>
      <c s="1638"/>
      <c s="1638"/>
      <c s="353"/>
      <c r="K244" s="1162"/>
      <c s="1638"/>
      <c s="1638"/>
      <c s="1162"/>
      <c s="1162"/>
      <c s="1162"/>
      <c s="1162"/>
      <c s="1638"/>
      <c s="1162"/>
      <c s="1162"/>
      <c s="546"/>
      <c s="1162"/>
      <c s="1162"/>
      <c s="1162"/>
      <c s="1162"/>
      <c s="1162"/>
      <c s="1634"/>
      <c s="568"/>
      <c s="568"/>
      <c s="568"/>
      <c s="568"/>
      <c s="1643">
        <v>11</v>
      </c>
    </row>
    <row r="245" spans="1:32" s="1643" customFormat="1" ht="11.55" customHeight="1">
      <c r="A245" s="989"/>
      <c s="1638"/>
      <c s="1638"/>
      <c s="353"/>
      <c r="K245" s="1162"/>
      <c s="1638"/>
      <c s="1638"/>
      <c s="1162"/>
      <c s="1162"/>
      <c s="1162"/>
      <c s="1162"/>
      <c s="1638"/>
      <c s="1162"/>
      <c s="1162"/>
      <c s="546"/>
      <c s="1162"/>
      <c s="1162"/>
      <c s="1162"/>
      <c s="1162"/>
      <c s="1162"/>
      <c s="1634"/>
      <c s="568"/>
      <c s="568"/>
      <c s="568"/>
      <c s="568"/>
      <c s="1643">
        <v>11</v>
      </c>
    </row>
    <row r="246" spans="1:32" s="1643" customFormat="1" ht="11.55" customHeight="1">
      <c r="A246" s="989"/>
      <c s="1638"/>
      <c s="1638"/>
      <c s="353"/>
      <c r="K246" s="1162"/>
      <c s="1638"/>
      <c s="1638"/>
      <c s="1162"/>
      <c s="1162"/>
      <c s="1162"/>
      <c s="1162"/>
      <c s="1638"/>
      <c s="1162"/>
      <c s="1162"/>
      <c s="546"/>
      <c s="1162"/>
      <c s="1162"/>
      <c s="1162"/>
      <c s="1162"/>
      <c s="1162"/>
      <c s="1634"/>
      <c s="568"/>
      <c s="568"/>
      <c s="568"/>
      <c s="568"/>
      <c s="1643">
        <v>11</v>
      </c>
    </row>
    <row r="247" spans="1:32" s="1643" customFormat="1" ht="11.55" customHeight="1">
      <c r="A247" s="989"/>
      <c s="1638"/>
      <c s="1638"/>
      <c s="353"/>
      <c r="K247" s="1162"/>
      <c s="1638"/>
      <c s="1638"/>
      <c s="1162"/>
      <c s="1162"/>
      <c s="1162"/>
      <c s="1162"/>
      <c s="1638"/>
      <c s="1162"/>
      <c s="1162"/>
      <c s="546"/>
      <c s="1162"/>
      <c s="1162"/>
      <c s="1162"/>
      <c s="1162"/>
      <c s="1162"/>
      <c s="1634"/>
      <c s="568"/>
      <c s="568"/>
      <c s="568"/>
      <c s="568"/>
      <c s="1643">
        <v>11</v>
      </c>
    </row>
    <row r="248" spans="1:32" s="1643" customFormat="1" ht="11.55" customHeight="1">
      <c r="A248" s="989"/>
      <c s="1638"/>
      <c s="1638"/>
      <c s="353"/>
      <c r="K248" s="1162"/>
      <c s="1638"/>
      <c s="1638"/>
      <c s="1162"/>
      <c s="1162"/>
      <c s="1162"/>
      <c s="1162"/>
      <c s="1638"/>
      <c s="1162"/>
      <c s="1162"/>
      <c s="546"/>
      <c s="1162"/>
      <c s="1162"/>
      <c s="1162"/>
      <c s="1162"/>
      <c s="1162"/>
      <c s="1634"/>
      <c s="568"/>
      <c s="568"/>
      <c s="568"/>
      <c s="568"/>
      <c s="1643">
        <v>11</v>
      </c>
    </row>
    <row r="249" spans="1:32" s="1643" customFormat="1" ht="11.55" customHeight="1">
      <c r="A249" s="989"/>
      <c s="1638"/>
      <c s="1638"/>
      <c s="353"/>
      <c r="K249" s="1162"/>
      <c s="1638"/>
      <c s="1638"/>
      <c s="1162"/>
      <c s="1162"/>
      <c s="1162"/>
      <c s="1162"/>
      <c s="1638"/>
      <c s="1162"/>
      <c s="1162"/>
      <c s="546"/>
      <c s="1162"/>
      <c s="1162"/>
      <c s="1162"/>
      <c s="1162"/>
      <c s="1162"/>
      <c s="1634"/>
      <c s="568"/>
      <c s="568"/>
      <c s="568"/>
      <c s="568"/>
      <c s="1643">
        <v>11</v>
      </c>
    </row>
    <row r="250" spans="1:32" s="1643" customFormat="1" ht="11.55" customHeight="1">
      <c r="A250" s="989"/>
      <c s="1638"/>
      <c s="1638"/>
      <c s="353"/>
      <c r="K250" s="1162"/>
      <c s="1638"/>
      <c s="1638"/>
      <c s="1162"/>
      <c s="1162"/>
      <c s="1162"/>
      <c s="1162"/>
      <c s="1638"/>
      <c s="1162"/>
      <c s="1162"/>
      <c s="546"/>
      <c s="1162"/>
      <c s="1162"/>
      <c s="1162"/>
      <c s="1162"/>
      <c s="1162"/>
      <c s="1634"/>
      <c s="568"/>
      <c s="568"/>
      <c s="568"/>
      <c s="568"/>
      <c s="1643">
        <v>11</v>
      </c>
    </row>
    <row r="251" spans="1:32" s="1643" customFormat="1" ht="11.55" customHeight="1">
      <c r="A251" s="989"/>
      <c s="1638"/>
      <c s="1638"/>
      <c s="353"/>
      <c r="K251" s="1162"/>
      <c s="1638"/>
      <c s="1638"/>
      <c s="1162"/>
      <c s="1162"/>
      <c s="1162"/>
      <c s="1162"/>
      <c s="1638"/>
      <c s="1162"/>
      <c s="1162"/>
      <c s="546"/>
      <c s="1162"/>
      <c s="1162"/>
      <c s="1162"/>
      <c s="1162"/>
      <c s="1162"/>
      <c s="1634"/>
      <c s="568"/>
      <c s="568"/>
      <c s="568"/>
      <c s="568"/>
      <c s="1643">
        <v>11</v>
      </c>
    </row>
    <row r="252" spans="1:32" s="1643" customFormat="1" ht="11.55" customHeight="1">
      <c r="A252" s="989"/>
      <c s="1638"/>
      <c s="1638"/>
      <c s="353"/>
      <c r="K252" s="1162"/>
      <c s="1638"/>
      <c s="1638"/>
      <c s="1162"/>
      <c s="1162"/>
      <c s="1162"/>
      <c s="1162"/>
      <c s="1638"/>
      <c s="1162"/>
      <c s="1162"/>
      <c s="546"/>
      <c s="1162"/>
      <c s="1162"/>
      <c s="1162"/>
      <c s="1162"/>
      <c s="1162"/>
      <c s="1634"/>
      <c s="568"/>
      <c s="568"/>
      <c s="568"/>
      <c s="568"/>
      <c s="1643">
        <v>11</v>
      </c>
    </row>
    <row r="253" spans="1:32" s="1643" customFormat="1" ht="11.55" customHeight="1">
      <c r="A253" s="989"/>
      <c s="1638"/>
      <c s="1638"/>
      <c s="353"/>
      <c r="K253" s="1162"/>
      <c s="1638"/>
      <c s="1638"/>
      <c s="1162"/>
      <c s="1162"/>
      <c s="1162"/>
      <c s="1162"/>
      <c s="1638"/>
      <c s="1162"/>
      <c s="1162"/>
      <c s="546"/>
      <c s="1162"/>
      <c s="1162"/>
      <c s="1162"/>
      <c s="1162"/>
      <c s="1162"/>
      <c s="1634"/>
      <c s="568"/>
      <c s="568"/>
      <c s="568"/>
      <c s="568"/>
      <c s="1643">
        <v>11</v>
      </c>
    </row>
    <row r="254" spans="1:32" s="1643" customFormat="1" ht="11.55" customHeight="1">
      <c r="A254" s="989"/>
      <c s="1638"/>
      <c s="1638"/>
      <c s="353"/>
      <c r="K254" s="1162"/>
      <c s="1638"/>
      <c s="1638"/>
      <c s="1162"/>
      <c s="1162"/>
      <c s="1162"/>
      <c s="1162"/>
      <c s="1638"/>
      <c s="1162"/>
      <c s="1162"/>
      <c s="546"/>
      <c s="1162"/>
      <c s="1162"/>
      <c s="1162"/>
      <c s="1162"/>
      <c s="1162"/>
      <c s="1634"/>
      <c s="568"/>
      <c s="568"/>
      <c s="568"/>
      <c s="568"/>
      <c s="1643">
        <v>11</v>
      </c>
    </row>
    <row r="255" spans="1:32" s="1643" customFormat="1" ht="11.55" customHeight="1">
      <c r="A255" s="989"/>
      <c s="1638"/>
      <c s="1638"/>
      <c s="353"/>
      <c r="K255" s="1162"/>
      <c s="1638"/>
      <c s="1638"/>
      <c s="1162"/>
      <c s="1162"/>
      <c s="1162"/>
      <c s="1162"/>
      <c s="1638"/>
      <c s="1162"/>
      <c s="1162"/>
      <c s="546"/>
      <c s="1162"/>
      <c s="1162"/>
      <c s="1162"/>
      <c s="1162"/>
      <c s="1162"/>
      <c s="1634"/>
      <c s="568"/>
      <c s="568"/>
      <c s="568"/>
      <c s="568"/>
      <c s="1643">
        <v>11</v>
      </c>
    </row>
    <row r="256" spans="1:32" s="1643" customFormat="1" ht="11.55" customHeight="1">
      <c r="A256" s="989"/>
      <c s="1638"/>
      <c s="1638"/>
      <c s="353"/>
      <c r="K256" s="1162"/>
      <c s="1638"/>
      <c s="1638"/>
      <c s="1162"/>
      <c s="1162"/>
      <c s="1162"/>
      <c s="1162"/>
      <c s="1638"/>
      <c s="1162"/>
      <c s="1162"/>
      <c s="546"/>
      <c s="1162"/>
      <c s="1162"/>
      <c s="1162"/>
      <c s="1162"/>
      <c s="1162"/>
      <c s="1634"/>
      <c s="568"/>
      <c s="568"/>
      <c s="568"/>
      <c s="568"/>
      <c s="1643">
        <v>11</v>
      </c>
    </row>
    <row r="257" spans="1:32" s="1643" customFormat="1" ht="11.55" customHeight="1">
      <c r="A257" s="989"/>
      <c s="1638"/>
      <c s="1638"/>
      <c s="353"/>
      <c r="K257" s="1162"/>
      <c s="1638"/>
      <c s="1638"/>
      <c s="1162"/>
      <c s="1162"/>
      <c s="1162"/>
      <c s="1162"/>
      <c s="1638"/>
      <c s="1162"/>
      <c s="1162"/>
      <c s="546"/>
      <c s="1162"/>
      <c s="1162"/>
      <c s="1162"/>
      <c s="1162"/>
      <c s="1162"/>
      <c s="1634"/>
      <c s="568"/>
      <c s="568"/>
      <c s="568"/>
      <c s="568"/>
      <c s="1643">
        <v>11</v>
      </c>
    </row>
    <row r="258" spans="1:32" s="1643" customFormat="1" ht="11.55" customHeight="1">
      <c r="A258" s="989"/>
      <c s="1638"/>
      <c s="1638"/>
      <c s="353"/>
      <c r="K258" s="1162"/>
      <c s="1638"/>
      <c s="1638"/>
      <c s="1162"/>
      <c s="1162"/>
      <c s="1162"/>
      <c s="1162"/>
      <c s="1638"/>
      <c s="1162"/>
      <c s="1162"/>
      <c s="546"/>
      <c s="1162"/>
      <c s="1162"/>
      <c s="1162"/>
      <c s="1162"/>
      <c s="1162"/>
      <c s="1634"/>
      <c s="568"/>
      <c s="568"/>
      <c s="568"/>
      <c s="568"/>
      <c s="1643">
        <v>11</v>
      </c>
    </row>
    <row r="259" spans="1:32" s="1643" customFormat="1" ht="11.55" customHeight="1">
      <c r="A259" s="989"/>
      <c s="1638"/>
      <c s="1638"/>
      <c s="353"/>
      <c r="K259" s="1162"/>
      <c s="1638"/>
      <c s="1638"/>
      <c s="1162"/>
      <c s="1162"/>
      <c s="1162"/>
      <c s="1162"/>
      <c s="1638"/>
      <c s="1162"/>
      <c s="1162"/>
      <c s="546"/>
      <c s="1162"/>
      <c s="1162"/>
      <c s="1162"/>
      <c s="1162"/>
      <c s="1162"/>
      <c s="1634"/>
      <c s="568"/>
      <c s="568"/>
      <c s="568"/>
      <c s="568"/>
      <c s="1643">
        <v>11</v>
      </c>
    </row>
    <row r="260" spans="1:32" s="1643" customFormat="1" ht="11.55" customHeight="1">
      <c r="A260" s="989"/>
      <c s="1638"/>
      <c s="1638"/>
      <c s="353"/>
      <c r="K260" s="1162"/>
      <c s="1638"/>
      <c s="1638"/>
      <c s="1162"/>
      <c s="1162"/>
      <c s="1162"/>
      <c s="1162"/>
      <c s="1638"/>
      <c s="1162"/>
      <c s="1162"/>
      <c s="546"/>
      <c s="1162"/>
      <c s="1162"/>
      <c s="1162"/>
      <c s="1162"/>
      <c s="1162"/>
      <c s="1634"/>
      <c s="568"/>
      <c s="568"/>
      <c s="568"/>
      <c s="568"/>
      <c s="1643">
        <v>11</v>
      </c>
    </row>
    <row r="261" spans="1:32" s="1643" customFormat="1" ht="11.55" customHeight="1">
      <c r="A261" s="989"/>
      <c s="1638"/>
      <c s="1638"/>
      <c s="353"/>
      <c r="K261" s="1162"/>
      <c s="1638"/>
      <c s="1638"/>
      <c s="1162"/>
      <c s="1162"/>
      <c s="1162"/>
      <c s="1162"/>
      <c s="1638"/>
      <c s="1162"/>
      <c s="1162"/>
      <c s="546"/>
      <c s="1162"/>
      <c s="1162"/>
      <c s="1162"/>
      <c s="1162"/>
      <c s="1162"/>
      <c s="1634"/>
      <c s="568"/>
      <c s="568"/>
      <c s="568"/>
      <c s="568"/>
      <c s="1643">
        <v>11</v>
      </c>
    </row>
    <row r="262" spans="1:32" s="1643" customFormat="1" ht="11.55" customHeight="1">
      <c r="A262" s="989"/>
      <c s="1638"/>
      <c s="1638"/>
      <c s="353"/>
      <c r="K262" s="1162"/>
      <c s="1638"/>
      <c s="1638"/>
      <c s="1162"/>
      <c s="1162"/>
      <c s="1162"/>
      <c s="1162"/>
      <c s="1638"/>
      <c s="1162"/>
      <c s="1162"/>
      <c s="546"/>
      <c s="1162"/>
      <c s="1162"/>
      <c s="1162"/>
      <c s="1162"/>
      <c s="1162"/>
      <c s="1634"/>
      <c s="568"/>
      <c s="568"/>
      <c s="568"/>
      <c s="568"/>
      <c s="1643">
        <v>11</v>
      </c>
    </row>
    <row r="263" spans="1:32" s="1643" customFormat="1" ht="11.55" customHeight="1">
      <c r="A263" s="989"/>
      <c s="1638"/>
      <c s="1638"/>
      <c s="353"/>
      <c r="K263" s="1162"/>
      <c s="1638"/>
      <c s="1638"/>
      <c s="1162"/>
      <c s="1162"/>
      <c s="1162"/>
      <c s="1162"/>
      <c s="1638"/>
      <c s="1162"/>
      <c s="1162"/>
      <c s="546"/>
      <c s="1162"/>
      <c s="1162"/>
      <c s="1162"/>
      <c s="1162"/>
      <c s="1162"/>
      <c s="1634"/>
      <c s="568"/>
      <c s="568"/>
      <c s="568"/>
      <c s="568"/>
      <c s="1643">
        <v>11</v>
      </c>
    </row>
    <row r="264" spans="1:32" s="1643" customFormat="1" ht="11.55" customHeight="1">
      <c r="A264" s="989"/>
      <c s="1638"/>
      <c s="1638"/>
      <c s="353"/>
      <c r="K264" s="1162"/>
      <c s="1638"/>
      <c s="1638"/>
      <c s="1162"/>
      <c s="1162"/>
      <c s="1162"/>
      <c s="1162"/>
      <c s="1638"/>
      <c s="1162"/>
      <c s="1162"/>
      <c s="546"/>
      <c s="1162"/>
      <c s="1162"/>
      <c s="1162"/>
      <c s="1162"/>
      <c s="1162"/>
      <c s="1634"/>
      <c s="568"/>
      <c s="568"/>
      <c s="568"/>
      <c s="568"/>
      <c s="1643">
        <v>11</v>
      </c>
    </row>
    <row r="265" spans="1:32" s="1643" customFormat="1" ht="11.55" customHeight="1">
      <c r="A265" s="989"/>
      <c s="1638"/>
      <c s="1638"/>
      <c s="353"/>
      <c r="K265" s="1162"/>
      <c s="1638"/>
      <c s="1638"/>
      <c s="1162"/>
      <c s="1162"/>
      <c s="1162"/>
      <c s="1162"/>
      <c s="1638"/>
      <c s="1162"/>
      <c s="1162"/>
      <c s="546"/>
      <c s="1162"/>
      <c s="1162"/>
      <c s="1162"/>
      <c s="1162"/>
      <c s="1162"/>
      <c s="1634"/>
      <c s="568"/>
      <c s="568"/>
      <c s="568"/>
      <c s="568"/>
      <c s="1643">
        <v>11</v>
      </c>
    </row>
    <row r="266" spans="1:32" s="1643" customFormat="1" ht="11.55" customHeight="1">
      <c r="A266" s="989"/>
      <c s="1638"/>
      <c s="1638"/>
      <c s="353"/>
      <c r="K266" s="1162"/>
      <c s="1638"/>
      <c s="1638"/>
      <c s="1162"/>
      <c s="1162"/>
      <c s="1162"/>
      <c s="1162"/>
      <c s="1638"/>
      <c s="1162"/>
      <c s="1162"/>
      <c s="546"/>
      <c s="1162"/>
      <c s="1162"/>
      <c s="1162"/>
      <c s="1162"/>
      <c s="1162"/>
      <c s="1634"/>
      <c s="568"/>
      <c s="568"/>
      <c s="568"/>
      <c s="568"/>
      <c s="1643">
        <v>11</v>
      </c>
    </row>
    <row r="267" spans="1:32" s="1643" customFormat="1" ht="11.55" customHeight="1">
      <c r="A267" s="989"/>
      <c s="1638"/>
      <c s="1638"/>
      <c s="353"/>
      <c r="K267" s="1162"/>
      <c s="1638"/>
      <c s="1638"/>
      <c s="1162"/>
      <c s="1162"/>
      <c s="1162"/>
      <c s="1162"/>
      <c s="1638"/>
      <c s="1162"/>
      <c s="1162"/>
      <c s="546"/>
      <c s="1162"/>
      <c s="1162"/>
      <c s="1162"/>
      <c s="1162"/>
      <c s="1162"/>
      <c s="1634"/>
      <c s="568"/>
      <c s="568"/>
      <c s="568"/>
      <c s="568"/>
      <c s="1643">
        <v>11</v>
      </c>
    </row>
    <row r="268" spans="1:32" s="1643" customFormat="1" ht="11.55" customHeight="1">
      <c r="A268" s="989"/>
      <c s="1638"/>
      <c s="1638"/>
      <c s="353"/>
      <c r="K268" s="1162"/>
      <c s="1638"/>
      <c s="1638"/>
      <c s="1162"/>
      <c s="1162"/>
      <c s="1162"/>
      <c s="1162"/>
      <c s="1638"/>
      <c s="1162"/>
      <c s="1162"/>
      <c s="546"/>
      <c s="1162"/>
      <c s="1162"/>
      <c s="1162"/>
      <c s="1162"/>
      <c s="1162"/>
      <c s="1634"/>
      <c s="568"/>
      <c s="568"/>
      <c s="568"/>
      <c s="568"/>
      <c s="1643">
        <v>11</v>
      </c>
    </row>
    <row r="269" spans="1:32" s="1643" customFormat="1" ht="11.55" customHeight="1">
      <c r="A269" s="989"/>
      <c s="1638"/>
      <c s="1638"/>
      <c s="353"/>
      <c r="K269" s="1162"/>
      <c s="1638"/>
      <c s="1638"/>
      <c s="1162"/>
      <c s="1162"/>
      <c s="1162"/>
      <c s="1162"/>
      <c s="1638"/>
      <c s="1162"/>
      <c s="1162"/>
      <c s="546"/>
      <c s="1162"/>
      <c s="1162"/>
      <c s="1162"/>
      <c s="1162"/>
      <c s="1162"/>
      <c s="1634"/>
      <c s="568"/>
      <c s="568"/>
      <c s="568"/>
      <c s="568"/>
      <c s="1643">
        <v>11</v>
      </c>
    </row>
    <row r="270" spans="1:32" s="1643" customFormat="1" ht="11.55" customHeight="1">
      <c r="A270" s="989"/>
      <c s="1638"/>
      <c s="1638"/>
      <c s="353"/>
      <c r="K270" s="1162"/>
      <c s="1638"/>
      <c s="1638"/>
      <c s="1162"/>
      <c s="1162"/>
      <c s="1162"/>
      <c s="1162"/>
      <c s="1638"/>
      <c s="1162"/>
      <c s="1162"/>
      <c s="546"/>
      <c s="1162"/>
      <c s="1162"/>
      <c s="1162"/>
      <c s="1162"/>
      <c s="1162"/>
      <c s="1634"/>
      <c s="568"/>
      <c s="568"/>
      <c s="568"/>
      <c s="568"/>
      <c s="1643">
        <v>11</v>
      </c>
    </row>
    <row r="271" spans="1:32" s="1643" customFormat="1" ht="11.55" customHeight="1">
      <c r="A271" s="989"/>
      <c s="1638"/>
      <c s="1638"/>
      <c s="353"/>
      <c r="K271" s="1162"/>
      <c s="1638"/>
      <c s="1638"/>
      <c s="1162"/>
      <c s="1162"/>
      <c s="1162"/>
      <c s="1162"/>
      <c s="1638"/>
      <c s="1162"/>
      <c s="1162"/>
      <c s="546"/>
      <c s="1162"/>
      <c s="1162"/>
      <c s="1162"/>
      <c s="1162"/>
      <c s="1162"/>
      <c s="1634"/>
      <c s="568"/>
      <c s="568"/>
      <c s="568"/>
      <c s="568"/>
      <c s="1643">
        <v>11</v>
      </c>
    </row>
    <row r="272" spans="1:32" s="1643" customFormat="1" ht="11.55" customHeight="1">
      <c r="A272" s="989"/>
      <c s="1638"/>
      <c s="1638"/>
      <c s="353"/>
      <c r="K272" s="1162"/>
      <c s="1638"/>
      <c s="1638"/>
      <c s="1162"/>
      <c s="1162"/>
      <c s="1162"/>
      <c s="1162"/>
      <c s="1638"/>
      <c s="1162"/>
      <c s="1162"/>
      <c s="546"/>
      <c s="1162"/>
      <c s="1162"/>
      <c s="1162"/>
      <c s="1162"/>
      <c s="1162"/>
      <c s="1634"/>
      <c s="568"/>
      <c s="568"/>
      <c s="568"/>
      <c s="568"/>
      <c s="1643">
        <v>11</v>
      </c>
    </row>
    <row r="273" spans="1:32" s="1643" customFormat="1" ht="11.55" customHeight="1">
      <c r="A273" s="989"/>
      <c s="1638"/>
      <c s="1638"/>
      <c s="353"/>
      <c r="K273" s="1162"/>
      <c s="1638"/>
      <c s="1638"/>
      <c s="1162"/>
      <c s="1162"/>
      <c s="1162"/>
      <c s="1162"/>
      <c s="1638"/>
      <c s="1162"/>
      <c s="1162"/>
      <c s="546"/>
      <c s="1162"/>
      <c s="1162"/>
      <c s="1162"/>
      <c s="1162"/>
      <c s="1162"/>
      <c s="1634"/>
      <c s="568"/>
      <c s="568"/>
      <c s="568"/>
      <c s="568"/>
      <c s="1643">
        <v>11</v>
      </c>
    </row>
    <row r="274" spans="1:32" s="1643" customFormat="1" ht="11.55" customHeight="1">
      <c r="A274" s="989"/>
      <c s="1638"/>
      <c s="1638"/>
      <c s="353"/>
      <c r="K274" s="1162"/>
      <c s="1638"/>
      <c s="1638"/>
      <c s="1162"/>
      <c s="1162"/>
      <c s="1162"/>
      <c s="1162"/>
      <c s="1638"/>
      <c s="1162"/>
      <c s="1162"/>
      <c s="546"/>
      <c s="1162"/>
      <c s="1162"/>
      <c s="1162"/>
      <c s="1162"/>
      <c s="1162"/>
      <c s="1634"/>
      <c s="568"/>
      <c s="568"/>
      <c s="568"/>
      <c s="568"/>
      <c s="1643">
        <v>11</v>
      </c>
    </row>
    <row r="275" spans="1:32" s="1643" customFormat="1" ht="11.55" customHeight="1">
      <c r="A275" s="989"/>
      <c s="1638"/>
      <c s="1638"/>
      <c s="353"/>
      <c r="K275" s="1162"/>
      <c s="1638"/>
      <c s="1638"/>
      <c s="1162"/>
      <c s="1162"/>
      <c s="1162"/>
      <c s="1162"/>
      <c s="1638"/>
      <c s="1162"/>
      <c s="1162"/>
      <c s="546"/>
      <c s="1162"/>
      <c s="1162"/>
      <c s="1162"/>
      <c s="1162"/>
      <c s="1162"/>
      <c s="1634"/>
      <c s="568"/>
      <c s="568"/>
      <c s="568"/>
      <c s="568"/>
      <c s="1643">
        <v>11</v>
      </c>
    </row>
    <row r="276" spans="1:32" s="1643" customFormat="1" ht="11.55" customHeight="1">
      <c r="A276" s="989"/>
      <c s="1638"/>
      <c s="1638"/>
      <c s="353"/>
      <c r="K276" s="1162"/>
      <c s="1638"/>
      <c s="1638"/>
      <c s="1162"/>
      <c s="1162"/>
      <c s="1162"/>
      <c s="1162"/>
      <c s="1638"/>
      <c s="1162"/>
      <c s="1162"/>
      <c s="546"/>
      <c s="1162"/>
      <c s="1162"/>
      <c s="1162"/>
      <c s="1162"/>
      <c s="1162"/>
      <c s="1634"/>
      <c s="568"/>
      <c s="568"/>
      <c s="568"/>
      <c s="568"/>
      <c s="1643">
        <v>11</v>
      </c>
    </row>
    <row r="277" spans="1:32" s="1643" customFormat="1" ht="11.55" customHeight="1">
      <c r="A277" s="989"/>
      <c s="1638"/>
      <c s="1638"/>
      <c s="353"/>
      <c r="K277" s="1162"/>
      <c s="1638"/>
      <c s="1638"/>
      <c s="1162"/>
      <c s="1162"/>
      <c s="1162"/>
      <c s="1162"/>
      <c s="1638"/>
      <c s="1162"/>
      <c s="1162"/>
      <c s="546"/>
      <c s="1162"/>
      <c s="1162"/>
      <c s="1162"/>
      <c s="1162"/>
      <c s="1162"/>
      <c s="1634"/>
      <c s="568"/>
      <c s="568"/>
      <c s="568"/>
      <c s="568"/>
      <c s="1643">
        <v>11</v>
      </c>
    </row>
    <row r="278" spans="1:32" s="1643" customFormat="1" ht="11.55" customHeight="1">
      <c r="A278" s="989"/>
      <c s="1638"/>
      <c s="1638"/>
      <c s="353"/>
      <c r="K278" s="1162"/>
      <c s="1638"/>
      <c s="1638"/>
      <c s="1162"/>
      <c s="1162"/>
      <c s="1162"/>
      <c s="1162"/>
      <c s="1638"/>
      <c s="1162"/>
      <c s="1162"/>
      <c s="546"/>
      <c s="1162"/>
      <c s="1162"/>
      <c s="1162"/>
      <c s="1162"/>
      <c s="1162"/>
      <c s="1634"/>
      <c s="568"/>
      <c s="568"/>
      <c s="568"/>
      <c s="568"/>
      <c s="1643">
        <v>11</v>
      </c>
    </row>
    <row r="279" spans="1:32" s="1643" customFormat="1" ht="11.55" customHeight="1">
      <c r="A279" s="989"/>
      <c s="1638"/>
      <c s="1638"/>
      <c s="353"/>
      <c r="K279" s="1162"/>
      <c s="1638"/>
      <c s="1638"/>
      <c s="1162"/>
      <c s="1162"/>
      <c s="1162"/>
      <c s="1162"/>
      <c s="1638"/>
      <c s="1162"/>
      <c s="1162"/>
      <c s="546"/>
      <c s="1162"/>
      <c s="1162"/>
      <c s="1162"/>
      <c s="1162"/>
      <c s="1162"/>
      <c s="1634"/>
      <c s="568"/>
      <c s="568"/>
      <c s="568"/>
      <c s="568"/>
      <c s="1643">
        <v>11</v>
      </c>
    </row>
    <row r="280" spans="1:32" s="1643" customFormat="1" ht="11.55" customHeight="1">
      <c r="A280" s="989"/>
      <c s="1638"/>
      <c s="1638"/>
      <c s="353"/>
      <c r="K280" s="1162"/>
      <c s="1638"/>
      <c s="1638"/>
      <c s="1162"/>
      <c s="1162"/>
      <c s="1162"/>
      <c s="1162"/>
      <c s="1638"/>
      <c s="1162"/>
      <c s="1162"/>
      <c s="546"/>
      <c s="1162"/>
      <c s="1162"/>
      <c s="1162"/>
      <c s="1162"/>
      <c s="1162"/>
      <c s="1634"/>
      <c s="568"/>
      <c s="568"/>
      <c s="568"/>
      <c s="568"/>
      <c s="1643">
        <v>11</v>
      </c>
    </row>
    <row r="281" spans="1:32" s="1643" customFormat="1" ht="11.55" customHeight="1">
      <c r="A281" s="989"/>
      <c s="1638"/>
      <c s="1638"/>
      <c s="353"/>
      <c r="K281" s="1162"/>
      <c s="1638"/>
      <c s="1638"/>
      <c s="1162"/>
      <c s="1162"/>
      <c s="1162"/>
      <c s="1162"/>
      <c s="1638"/>
      <c s="1162"/>
      <c s="1162"/>
      <c s="546"/>
      <c s="1162"/>
      <c s="1162"/>
      <c s="1162"/>
      <c s="1162"/>
      <c s="1162"/>
      <c s="1634"/>
      <c s="568"/>
      <c s="568"/>
      <c s="568"/>
      <c s="568"/>
      <c s="1643">
        <v>11</v>
      </c>
    </row>
    <row r="282" spans="1:32" s="1643" customFormat="1" ht="11.55" customHeight="1">
      <c r="A282" s="989"/>
      <c s="1638"/>
      <c s="1638"/>
      <c s="353"/>
      <c r="K282" s="1162"/>
      <c s="1638"/>
      <c s="1638"/>
      <c s="1162"/>
      <c s="1162"/>
      <c s="1162"/>
      <c s="1162"/>
      <c s="1638"/>
      <c s="1162"/>
      <c s="1162"/>
      <c s="546"/>
      <c s="1162"/>
      <c s="1162"/>
      <c s="1162"/>
      <c s="1162"/>
      <c s="1162"/>
      <c s="1634"/>
      <c s="568"/>
      <c s="568"/>
      <c s="568"/>
      <c s="568"/>
      <c s="1643">
        <v>11</v>
      </c>
    </row>
    <row r="283" spans="1:32" s="1643" customFormat="1" ht="11.55" customHeight="1">
      <c r="A283" s="989"/>
      <c s="1638"/>
      <c s="1638"/>
      <c s="353"/>
      <c r="K283" s="1162"/>
      <c s="1638"/>
      <c s="1638"/>
      <c s="1162"/>
      <c s="1162"/>
      <c s="1162"/>
      <c s="1162"/>
      <c s="1638"/>
      <c s="1162"/>
      <c s="1162"/>
      <c s="546"/>
      <c s="1162"/>
      <c s="1162"/>
      <c s="1162"/>
      <c s="1162"/>
      <c s="1162"/>
      <c s="1634"/>
      <c s="568"/>
      <c s="568"/>
      <c s="568"/>
      <c s="568"/>
      <c s="1643">
        <v>11</v>
      </c>
    </row>
    <row r="284" spans="1:32" s="1643" customFormat="1" ht="11.55" customHeight="1">
      <c r="A284" s="989"/>
      <c s="1638"/>
      <c s="1638"/>
      <c s="353"/>
      <c r="K284" s="1162"/>
      <c s="1638"/>
      <c s="1638"/>
      <c s="1162"/>
      <c s="1162"/>
      <c s="1162"/>
      <c s="1162"/>
      <c s="1638"/>
      <c s="1162"/>
      <c s="1162"/>
      <c s="546"/>
      <c s="1162"/>
      <c s="1162"/>
      <c s="1162"/>
      <c s="1162"/>
      <c s="1162"/>
      <c s="1634"/>
      <c s="568"/>
      <c s="568"/>
      <c s="568"/>
      <c s="568"/>
      <c s="1643">
        <v>11</v>
      </c>
    </row>
    <row r="285" spans="1:32" s="1643" customFormat="1" ht="11.55" customHeight="1">
      <c r="A285" s="989"/>
      <c s="1638"/>
      <c s="1638"/>
      <c s="353"/>
      <c r="K285" s="1162"/>
      <c s="1638"/>
      <c s="1638"/>
      <c s="1162"/>
      <c s="1162"/>
      <c s="1162"/>
      <c s="1162"/>
      <c s="1638"/>
      <c s="1162"/>
      <c s="1162"/>
      <c s="546"/>
      <c s="1162"/>
      <c s="1162"/>
      <c s="1162"/>
      <c s="1162"/>
      <c s="1162"/>
      <c s="1634"/>
      <c s="568"/>
      <c s="568"/>
      <c s="568"/>
      <c s="568"/>
      <c s="1643">
        <v>11</v>
      </c>
    </row>
    <row r="286" spans="1:32" s="1643" customFormat="1" ht="11.55" customHeight="1">
      <c r="A286" s="989"/>
      <c s="1638"/>
      <c s="1638"/>
      <c s="353"/>
      <c r="K286" s="1162"/>
      <c s="1638"/>
      <c s="1638"/>
      <c s="1162"/>
      <c s="1162"/>
      <c s="1162"/>
      <c s="1162"/>
      <c s="1638"/>
      <c s="1162"/>
      <c s="1162"/>
      <c s="546"/>
      <c s="1162"/>
      <c s="1162"/>
      <c s="1162"/>
      <c s="1162"/>
      <c s="1162"/>
      <c s="1634"/>
      <c s="568"/>
      <c s="568"/>
      <c s="568"/>
      <c s="568"/>
      <c s="1643">
        <v>11</v>
      </c>
    </row>
    <row r="287" spans="1:32" s="1643" customFormat="1" ht="11.55" customHeight="1">
      <c r="A287" s="989"/>
      <c s="1638"/>
      <c s="1638"/>
      <c s="353"/>
      <c r="K287" s="1162"/>
      <c s="1638"/>
      <c s="1638"/>
      <c s="1162"/>
      <c s="1162"/>
      <c s="1162"/>
      <c s="1162"/>
      <c s="1638"/>
      <c s="1162"/>
      <c s="1162"/>
      <c s="546"/>
      <c s="1162"/>
      <c s="1162"/>
      <c s="1162"/>
      <c s="1162"/>
      <c s="1162"/>
      <c s="1634"/>
      <c s="568"/>
      <c s="568"/>
      <c s="568"/>
      <c s="568"/>
      <c s="1643">
        <v>11</v>
      </c>
    </row>
    <row r="288" spans="1:32" s="1643" customFormat="1" ht="11.55" customHeight="1">
      <c r="A288" s="989"/>
      <c s="1638"/>
      <c s="1638"/>
      <c s="353"/>
      <c r="K288" s="1162"/>
      <c s="1638"/>
      <c s="1638"/>
      <c s="1162"/>
      <c s="1162"/>
      <c s="1162"/>
      <c s="1162"/>
      <c s="1638"/>
      <c s="1162"/>
      <c s="1162"/>
      <c s="546"/>
      <c s="1162"/>
      <c s="1162"/>
      <c s="1162"/>
      <c s="1162"/>
      <c s="1162"/>
      <c s="1634"/>
      <c s="568"/>
      <c s="568"/>
      <c s="568"/>
      <c s="568"/>
      <c s="1643">
        <v>11</v>
      </c>
    </row>
    <row r="289" spans="32:32" ht="11.55" customHeight="1">
      <c r="AF289" s="1633">
        <v>11</v>
      </c>
    </row>
    <row r="290" spans="32:32" ht="11.55" customHeight="1">
      <c r="AF290" s="1633">
        <v>11</v>
      </c>
    </row>
    <row r="291" spans="32:32" ht="11.55" customHeight="1">
      <c r="AF291" s="1633">
        <v>11</v>
      </c>
    </row>
    <row r="292" spans="1:32" ht="11.55" customHeight="1">
      <c r="A292" s="992"/>
      <c s="1633"/>
      <c r="D292" s="1633"/>
      <c r="K292" s="1633"/>
      <c r="N292" s="1633"/>
      <c s="1633"/>
      <c s="1633"/>
      <c s="1633"/>
      <c r="S292" s="1633"/>
      <c s="1633"/>
      <c s="1633"/>
      <c s="1633"/>
      <c s="1633"/>
      <c s="1633"/>
      <c s="1633"/>
      <c s="1633"/>
      <c s="1633"/>
      <c s="1633"/>
      <c s="1633"/>
      <c s="1633"/>
      <c s="1633"/>
      <c s="1633">
        <v>11</v>
      </c>
    </row>
    <row r="293" spans="1:32" ht="11.55" customHeight="1">
      <c r="A293" s="992"/>
      <c s="1633"/>
      <c r="D293" s="1633"/>
      <c r="K293" s="1633"/>
      <c r="N293" s="1633"/>
      <c s="1633"/>
      <c s="1633"/>
      <c s="1633"/>
      <c r="S293" s="1633"/>
      <c s="1633"/>
      <c s="1633"/>
      <c s="1633"/>
      <c s="1633"/>
      <c s="1633"/>
      <c s="1633"/>
      <c s="1633"/>
      <c s="1633"/>
      <c s="1633"/>
      <c s="1633"/>
      <c s="1633"/>
      <c s="1633"/>
      <c s="1633">
        <v>11</v>
      </c>
    </row>
    <row r="294" spans="1:32" ht="11.55" customHeight="1">
      <c r="A294" s="992"/>
      <c s="1633"/>
      <c r="D294" s="1633"/>
      <c r="K294" s="1633"/>
      <c r="N294" s="1633"/>
      <c s="1633"/>
      <c s="1633"/>
      <c s="1633"/>
      <c r="S294" s="1633"/>
      <c s="1633"/>
      <c s="1633"/>
      <c s="1633"/>
      <c s="1633"/>
      <c s="1633"/>
      <c s="1633"/>
      <c s="1633"/>
      <c s="1633"/>
      <c s="1633"/>
      <c s="1633"/>
      <c s="1633"/>
      <c s="1633"/>
      <c s="1633">
        <v>11</v>
      </c>
    </row>
    <row r="295" spans="1:32" ht="11.55" customHeight="1">
      <c r="A295" s="992"/>
      <c s="1633"/>
      <c r="D295" s="1633"/>
      <c r="K295" s="1633"/>
      <c r="N295" s="1633"/>
      <c s="1633"/>
      <c s="1633"/>
      <c s="1633"/>
      <c r="S295" s="1633"/>
      <c s="1633"/>
      <c s="1633"/>
      <c s="1633"/>
      <c s="1633"/>
      <c s="1633"/>
      <c s="1633"/>
      <c s="1633"/>
      <c s="1633"/>
      <c s="1633"/>
      <c s="1633"/>
      <c s="1633"/>
      <c s="1633"/>
      <c s="1633">
        <v>11</v>
      </c>
    </row>
    <row r="296" spans="1:32" ht="11.55" customHeight="1">
      <c r="A296" s="992"/>
      <c s="1633"/>
      <c r="D296" s="1633"/>
      <c r="K296" s="1633"/>
      <c r="N296" s="1633"/>
      <c s="1633"/>
      <c s="1633"/>
      <c s="1633"/>
      <c r="S296" s="1633"/>
      <c s="1633"/>
      <c s="1633"/>
      <c s="1633"/>
      <c s="1633"/>
      <c s="1633"/>
      <c s="1633"/>
      <c s="1633"/>
      <c s="1633"/>
      <c s="1633"/>
      <c s="1633"/>
      <c s="1633"/>
      <c s="1633"/>
      <c s="1633">
        <v>11</v>
      </c>
    </row>
    <row r="297" spans="1:32" ht="11.55" customHeight="1">
      <c r="A297" s="992"/>
      <c s="1633"/>
      <c r="D297" s="1633"/>
      <c r="K297" s="1633"/>
      <c r="N297" s="1633"/>
      <c s="1633"/>
      <c s="1633"/>
      <c s="1633"/>
      <c r="S297" s="1633"/>
      <c s="1633"/>
      <c s="1633"/>
      <c s="1633"/>
      <c s="1633"/>
      <c s="1633"/>
      <c s="1633"/>
      <c s="1633"/>
      <c s="1633"/>
      <c s="1633"/>
      <c s="1633"/>
      <c s="1633"/>
      <c s="1633"/>
      <c s="1633">
        <v>11</v>
      </c>
    </row>
    <row r="298" spans="1:32" ht="11.55" customHeight="1">
      <c r="A298" s="992"/>
      <c s="1633"/>
      <c r="D298" s="1633"/>
      <c r="K298" s="1633"/>
      <c r="N298" s="1633"/>
      <c s="1633"/>
      <c s="1633"/>
      <c s="1633"/>
      <c r="S298" s="1633"/>
      <c s="1633"/>
      <c s="1633"/>
      <c s="1633"/>
      <c s="1633"/>
      <c s="1633"/>
      <c s="1633"/>
      <c s="1633"/>
      <c s="1633"/>
      <c s="1633"/>
      <c s="1633"/>
      <c s="1633"/>
      <c s="1633"/>
      <c s="1633">
        <v>11</v>
      </c>
    </row>
    <row r="299" spans="1:32" ht="11.55" customHeight="1">
      <c r="A299" s="992"/>
      <c s="1633"/>
      <c r="D299" s="1633"/>
      <c r="K299" s="1633"/>
      <c r="N299" s="1633"/>
      <c s="1633"/>
      <c s="1633"/>
      <c s="1633"/>
      <c r="S299" s="1633"/>
      <c s="1633"/>
      <c s="1633"/>
      <c s="1633"/>
      <c s="1633"/>
      <c s="1633"/>
      <c s="1633"/>
      <c s="1633"/>
      <c s="1633"/>
      <c s="1633"/>
      <c s="1633"/>
      <c s="1633"/>
      <c s="1633"/>
      <c s="1633">
        <v>11</v>
      </c>
    </row>
    <row r="300" spans="1:32" ht="11.55" customHeight="1">
      <c r="A300" s="992"/>
      <c s="1633"/>
      <c r="D300" s="1633"/>
      <c r="K300" s="1633"/>
      <c r="N300" s="1633"/>
      <c s="1633"/>
      <c s="1633"/>
      <c s="1633"/>
      <c r="S300" s="1633"/>
      <c s="1633"/>
      <c s="1633"/>
      <c s="1633"/>
      <c s="1633"/>
      <c s="1633"/>
      <c s="1633"/>
      <c s="1633"/>
      <c s="1633"/>
      <c s="1633"/>
      <c s="1633"/>
      <c s="1633"/>
      <c s="1633"/>
      <c s="1633">
        <v>11</v>
      </c>
    </row>
    <row r="301" spans="1:32" ht="11.55" customHeight="1">
      <c r="A301" s="992"/>
      <c s="1633"/>
      <c r="D301" s="1633"/>
      <c r="K301" s="1633"/>
      <c r="N301" s="1633"/>
      <c s="1633"/>
      <c s="1633"/>
      <c s="1633"/>
      <c r="S301" s="1633"/>
      <c s="1633"/>
      <c s="1633"/>
      <c s="1633"/>
      <c s="1633"/>
      <c s="1633"/>
      <c s="1633"/>
      <c s="1633"/>
      <c s="1633"/>
      <c s="1633"/>
      <c s="1633"/>
      <c s="1633"/>
      <c s="1633"/>
      <c s="1633">
        <v>11</v>
      </c>
    </row>
    <row r="302" spans="1:32" ht="11.55" customHeight="1">
      <c r="A302" s="992"/>
      <c s="1633"/>
      <c r="D302" s="1633"/>
      <c r="K302" s="1633"/>
      <c r="N302" s="1633"/>
      <c s="1633"/>
      <c s="1633"/>
      <c s="1633"/>
      <c r="S302" s="1633"/>
      <c s="1633"/>
      <c s="1633"/>
      <c s="1633"/>
      <c s="1633"/>
      <c s="1633"/>
      <c s="1633"/>
      <c s="1633"/>
      <c s="1633"/>
      <c s="1633"/>
      <c s="1633"/>
      <c s="1633"/>
      <c s="1633"/>
      <c s="1633">
        <v>11</v>
      </c>
    </row>
    <row r="303" spans="1:32" ht="11.25" customHeight="1" hidden="1">
      <c r="A303" s="989" t="s">
        <v>81</v>
      </c>
      <c s="1162">
        <v>0</v>
      </c>
      <c s="1638">
        <v>0</v>
      </c>
      <c s="1637">
        <v>3</v>
      </c>
      <c s="1633">
        <v>7</v>
      </c>
      <c s="1633">
        <v>54</v>
      </c>
      <c s="1633">
        <v>10</v>
      </c>
      <c s="1633">
        <v>0</v>
      </c>
      <c s="1633">
        <v>40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6:I66 H68:I68"/>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7898D2-DCEC-4263-9B4D-0.1DB62623}" mc:Ignorable="x14ac xr xr2 xr3">
  <sheetPr>
    <tabColor theme="9" tint="-0.249980002641678"/>
  </sheetPr>
  <dimension ref="A1:CF29"/>
  <sheetViews>
    <sheetView showGridLines="0" zoomScale="90" zoomScaleNormal="90" workbookViewId="0" topLeftCell="A1">
      <selection pane="topLeft" activeCell="A1" sqref="A1"/>
    </sheetView>
  </sheetViews>
  <sheetFormatPr defaultColWidth="9.14428571428571" defaultRowHeight="11.25" customHeight="1"/>
  <cols>
    <col min="1" max="1" width="14.7142857142857" style="945" hidden="1" customWidth="1"/>
    <col min="2" max="2" width="17" style="1634" hidden="1" customWidth="1"/>
    <col min="3" max="3" width="3" style="1637" customWidth="1"/>
    <col min="4" max="4" width="1.85714285714286" style="1637" hidden="1" customWidth="1"/>
    <col min="5" max="6" width="7" style="1637" customWidth="1"/>
    <col min="7" max="7" width="29" style="1637" customWidth="1"/>
    <col min="8" max="8" width="3.71428571428571" style="1637" customWidth="1"/>
    <col min="9" max="9" width="5" style="1637" customWidth="1"/>
    <col min="10" max="11" width="24" style="1637" customWidth="1"/>
    <col min="12" max="12" width="3" style="1637" customWidth="1"/>
    <col min="13" max="13" width="6" style="1637" customWidth="1"/>
    <col min="14" max="14" width="25" style="1637" customWidth="1"/>
    <col min="15" max="18" width="18" style="1637" customWidth="1"/>
    <col min="19" max="19" width="93" style="1637" customWidth="1"/>
    <col min="20" max="20" width="10" style="1637" customWidth="1"/>
    <col min="21" max="21" width="10" style="1644" customWidth="1"/>
    <col min="22" max="22" width="11" style="1644" customWidth="1"/>
    <col min="23" max="27" width="10" style="1634" customWidth="1"/>
    <col min="28" max="83" width="8" style="1637" customWidth="1"/>
    <col min="84" max="84" width="9.14285714285714" style="1637" hidden="1"/>
  </cols>
  <sheetData>
    <row r="1" spans="84:84" ht="22.5" customHeight="1" hidden="1">
      <c r="CF1" s="507" t="s">
        <v>14</v>
      </c>
    </row>
    <row r="2" spans="84:84" ht="11.25" customHeight="1" hidden="1">
      <c r="CF2" s="507">
        <v>0</v>
      </c>
    </row>
    <row r="3" spans="84:84" ht="11.25" customHeight="1" hidden="1">
      <c r="CF3" s="507">
        <v>0</v>
      </c>
    </row>
    <row r="4" spans="3:13 84:84" ht="3" customHeight="1">
      <c r="C4" s="511"/>
      <c s="511"/>
      <c s="511"/>
      <c s="511"/>
      <c s="511"/>
      <c s="511"/>
      <c s="511"/>
      <c s="511"/>
      <c s="168"/>
      <c s="168"/>
      <c s="168"/>
      <c r="CF4" s="507">
        <v>3</v>
      </c>
    </row>
    <row r="5" spans="3:13 84:84" ht="29.25" customHeight="1">
      <c r="C5" s="511"/>
      <c s="1059"/>
      <c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9"/>
      <c s="2239"/>
      <c s="2239"/>
      <c s="2239"/>
      <c s="2239"/>
      <c s="2239"/>
      <c s="615"/>
      <c s="615"/>
      <c r="CF5" s="507">
        <v>28</v>
      </c>
    </row>
    <row r="6" spans="1:27 84:84" s="1637" customFormat="1" ht="16.8" customHeight="1">
      <c r="A6" s="612"/>
      <c s="761"/>
      <c s="511"/>
      <c s="1060"/>
      <c s="2178" t="str">
        <f>IF(org=0,"Не определено",org)</f>
        <v>ГУП КК "Кубаньводкомплекс"</v>
      </c>
      <c s="2178"/>
      <c s="2178"/>
      <c s="2178"/>
      <c s="2178"/>
      <c s="2178"/>
      <c s="2178"/>
      <c s="615"/>
      <c s="615"/>
      <c r="U6" s="613"/>
      <c s="613"/>
      <c s="614"/>
      <c s="761"/>
      <c s="761"/>
      <c s="761"/>
      <c s="761"/>
      <c r="CF6" s="760">
        <v>16</v>
      </c>
    </row>
    <row r="7" spans="3:18 84:84" ht="11.55" customHeight="1">
      <c r="C7" s="511"/>
      <c s="511"/>
      <c s="511"/>
      <c s="511"/>
      <c s="524"/>
      <c s="524"/>
      <c s="524"/>
      <c s="524"/>
      <c s="616"/>
      <c s="616"/>
      <c s="616"/>
      <c r="R7" s="754"/>
      <c r="CF7" s="507">
        <v>11</v>
      </c>
    </row>
    <row r="8" spans="1:27 84:84" s="1643" customFormat="1" ht="4.2" customHeight="1">
      <c r="A8" s="623"/>
      <c s="568"/>
      <c s="353"/>
      <c s="353"/>
      <c s="353"/>
      <c s="353"/>
      <c s="977"/>
      <c s="977"/>
      <c s="977"/>
      <c s="977"/>
      <c s="1020"/>
      <c s="1020"/>
      <c s="1020"/>
      <c r="R8" s="1021"/>
      <c r="U8" s="613"/>
      <c s="613"/>
      <c s="624"/>
      <c s="568"/>
      <c s="568"/>
      <c s="568"/>
      <c s="568"/>
      <c r="CF8" s="498">
        <v>4</v>
      </c>
    </row>
    <row r="9" spans="4:20 84:84" ht="19.95" customHeight="1">
      <c r="D9" s="291"/>
      <c s="2103" t="s">
        <v>300</v>
      </c>
      <c s="2104"/>
      <c s="2104"/>
      <c s="2104"/>
      <c s="2104"/>
      <c s="2104"/>
      <c s="2104"/>
      <c s="2104"/>
      <c s="2104"/>
      <c s="2104"/>
      <c s="2104"/>
      <c s="2104"/>
      <c s="2104"/>
      <c s="2105"/>
      <c s="2129" t="s">
        <v>301</v>
      </c>
      <c s="336"/>
      <c r="CF9" s="507">
        <v>19</v>
      </c>
    </row>
    <row r="10" spans="4:20 84:84" ht="48.3" customHeight="1">
      <c r="D10" s="553" t="s">
        <v>87</v>
      </c>
      <c s="2129" t="s">
        <v>87</v>
      </c>
      <c s="2129"/>
      <c s="523" t="s">
        <v>302</v>
      </c>
      <c s="2129" t="s">
        <v>87</v>
      </c>
      <c s="2129"/>
      <c s="523" t="s">
        <v>602</v>
      </c>
      <c s="523" t="s">
        <v>603</v>
      </c>
      <c s="2129" t="s">
        <v>87</v>
      </c>
      <c s="2129"/>
      <c s="523" t="s">
        <v>604</v>
      </c>
      <c s="523" t="s">
        <v>605</v>
      </c>
      <c s="523" t="s">
        <v>606</v>
      </c>
      <c s="523" t="s">
        <v>607</v>
      </c>
      <c s="523" t="s">
        <v>608</v>
      </c>
      <c s="2129"/>
      <c s="336"/>
      <c r="CF10" s="507">
        <v>46</v>
      </c>
    </row>
    <row r="11" spans="1:23 84:84" s="1644" customFormat="1" ht="15" customHeight="1" hidden="1">
      <c r="A11" s="1054"/>
      <c r="D11" s="1027" t="s">
        <v>109</v>
      </c>
      <c s="1027"/>
      <c s="1027" t="s">
        <v>110</v>
      </c>
      <c s="1027" t="s">
        <v>89</v>
      </c>
      <c s="1027"/>
      <c s="1027" t="s">
        <v>90</v>
      </c>
      <c s="1027" t="s">
        <v>111</v>
      </c>
      <c s="1027" t="s">
        <v>91</v>
      </c>
      <c s="1027"/>
      <c s="1027" t="s">
        <v>92</v>
      </c>
      <c s="1027" t="s">
        <v>112</v>
      </c>
      <c s="1027" t="s">
        <v>150</v>
      </c>
      <c s="1027" t="s">
        <v>151</v>
      </c>
      <c s="1027" t="s">
        <v>152</v>
      </c>
      <c s="1027" t="s">
        <v>153</v>
      </c>
      <c s="1027" t="s">
        <v>154</v>
      </c>
      <c r="U11" s="613"/>
      <c s="613"/>
      <c s="613"/>
      <c r="CF11" s="513">
        <v>0</v>
      </c>
    </row>
    <row r="12" spans="1:27 84:84" s="1637" customFormat="1" ht="1.05" customHeight="1">
      <c r="A12" s="617"/>
      <c s="364"/>
      <c r="D12" s="550"/>
      <c s="348"/>
      <c s="348"/>
      <c r="Q12" s="618"/>
      <c s="619"/>
      <c r="T12" s="620"/>
      <c s="621"/>
      <c s="621"/>
      <c s="622"/>
      <c s="364"/>
      <c s="364"/>
      <c s="364"/>
      <c s="364"/>
      <c r="CF12" s="511">
        <v>1</v>
      </c>
    </row>
    <row r="13" spans="1:27 84:84" s="1643" customFormat="1" ht="1.05" customHeight="1">
      <c r="A13" s="623"/>
      <c s="568"/>
      <c r="D13" s="550" t="s">
        <v>376</v>
      </c>
      <c s="562"/>
      <c s="562"/>
      <c s="562"/>
      <c s="562"/>
      <c s="562"/>
      <c s="562"/>
      <c s="562"/>
      <c s="562"/>
      <c s="562"/>
      <c s="562"/>
      <c s="562"/>
      <c s="562"/>
      <c s="562"/>
      <c s="562"/>
      <c r="T13" s="336"/>
      <c s="613"/>
      <c s="613"/>
      <c s="624"/>
      <c s="568"/>
      <c s="568"/>
      <c s="568"/>
      <c s="568"/>
      <c r="CF13" s="498">
        <v>1</v>
      </c>
    </row>
    <row r="14" spans="1:84" s="1852" customFormat="1" ht="15" customHeight="1" hidden="1">
      <c r="A14" s="625" t="s">
        <v>118</v>
      </c>
      <c s="626"/>
      <c s="626"/>
      <c s="2382" t="s">
        <v>109</v>
      </c>
      <c s="2379" t="s">
        <v>105</v>
      </c>
      <c s="2380"/>
      <c s="2381"/>
      <c s="2385" t="str">
        <f>IF(A14="","",INDEX(DIFFERENTIATION_UNMERGE_VD,MATCH(A14,DIFFERENTIATION_ID_DIFF,0)))</f>
        <v>Водоотведение; Транспортировка; Подключение (технологическое присоединение) к централизованной системе водоотведения</v>
      </c>
      <c s="2385"/>
      <c s="2385"/>
      <c s="2385"/>
      <c s="2385"/>
      <c s="2385"/>
      <c s="2385"/>
      <c s="2385"/>
      <c s="2385"/>
      <c s="2385"/>
      <c s="2385"/>
      <c s="721"/>
      <c s="718"/>
      <c s="627"/>
      <c s="627"/>
      <c s="628"/>
      <c s="628"/>
      <c s="628"/>
      <c s="628"/>
      <c s="629"/>
      <c s="630"/>
      <c s="2377"/>
      <c s="631"/>
      <c s="632" t="s">
        <v>22</v>
      </c>
      <c s="632"/>
      <c s="633" t="s">
        <v>609</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5" spans="1:84" s="1852" customFormat="1" ht="15" customHeight="1" hidden="1">
      <c r="A15" s="625"/>
      <c s="626"/>
      <c s="626"/>
      <c s="2383"/>
      <c s="2379" t="s">
        <v>564</v>
      </c>
      <c s="2380"/>
      <c s="2381"/>
      <c s="2385" t="str">
        <f>IF(A14="","",INDEX(DIFFERENTIATION_UNMERGE_AREA,MATCH(A14,DIFFERENTIATION_ID_DIFF,0)))</f>
        <v>Территория 1</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6" spans="1:84" s="1852" customFormat="1" ht="15" customHeight="1" hidden="1">
      <c r="A16" s="625"/>
      <c s="626"/>
      <c s="626"/>
      <c s="2383"/>
      <c s="2379" t="s">
        <v>565</v>
      </c>
      <c s="2380"/>
      <c s="2381"/>
      <c s="2385" t="str">
        <f>IF(A14="","",INDEX(DIFFERENTIATION_UNMERGE_SYSTEM,MATCH(A14,DIFFERENTIATION_ID_DIFF,0)))</f>
        <v>Ейский групповой водопровод (разводящие сети водоотведения)</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7" spans="1:84" s="1852" customFormat="1" ht="22.5" customHeight="1" hidden="1">
      <c r="A17" s="635"/>
      <c s="419"/>
      <c s="414"/>
      <c s="2383"/>
      <c s="2378" t="s">
        <v>610</v>
      </c>
      <c s="2378"/>
      <c s="2378"/>
      <c s="2378"/>
      <c s="2378"/>
      <c s="2378"/>
      <c s="2378"/>
      <c s="2378"/>
      <c s="2378"/>
      <c s="2378"/>
      <c s="2378"/>
      <c s="2378"/>
      <c s="560">
        <f>SUMIF(T18:T19,"i",Q18:Q19)</f>
        <v>0</v>
      </c>
      <c s="1019"/>
      <c s="899" t="s">
        <v>611</v>
      </c>
      <c s="719" t="s">
        <v>612</v>
      </c>
      <c s="2376">
        <v>1</v>
      </c>
      <c s="2376" t="str">
        <f>INDEX(B_FHD_FLAG_INDEX_1,1,MATCH(A14,B_FHD_FLAG_DIFFERENTIATION,0))</f>
        <v>отсутствует</v>
      </c>
      <c s="419"/>
      <c s="419"/>
      <c s="419"/>
      <c s="419"/>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18" spans="1:84" s="1852" customFormat="1" ht="11.25" customHeight="1" hidden="1">
      <c r="A18" s="636"/>
      <c s="513"/>
      <c s="513"/>
      <c s="2383"/>
      <c s="637"/>
      <c s="637">
        <v>0</v>
      </c>
      <c s="637"/>
      <c s="637"/>
      <c s="637"/>
      <c s="637"/>
      <c s="637"/>
      <c s="637"/>
      <c s="637"/>
      <c s="637"/>
      <c s="637"/>
      <c s="637"/>
      <c s="637"/>
      <c s="637"/>
      <c s="638"/>
      <c s="720"/>
      <c s="2376"/>
      <c s="2376"/>
      <c s="513"/>
      <c s="513"/>
      <c s="513"/>
      <c s="513"/>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295">
        <v>0</v>
      </c>
    </row>
    <row r="19" spans="1:84" s="1852" customFormat="1" ht="11.25" customHeight="1" hidden="1">
      <c r="A19" s="635"/>
      <c s="419"/>
      <c s="414"/>
      <c s="2383"/>
      <c s="651" t="s">
        <v>22</v>
      </c>
      <c s="652" t="s">
        <v>22</v>
      </c>
      <c s="652" t="s">
        <v>22</v>
      </c>
      <c s="653" t="s">
        <v>22</v>
      </c>
      <c s="653"/>
      <c s="653"/>
      <c s="653"/>
      <c s="653"/>
      <c s="653"/>
      <c s="653"/>
      <c s="653"/>
      <c s="653"/>
      <c s="653"/>
      <c s="654"/>
      <c s="1022"/>
      <c s="720"/>
      <c s="2376"/>
      <c s="2376"/>
      <c s="419"/>
      <c s="419"/>
      <c s="419"/>
      <c s="419"/>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0" spans="1:84" s="1852" customFormat="1" ht="22.5" customHeight="1" hidden="1">
      <c r="A20" s="635"/>
      <c s="419"/>
      <c s="414"/>
      <c s="2383"/>
      <c s="2378" t="s">
        <v>613</v>
      </c>
      <c s="2378"/>
      <c s="2378"/>
      <c s="2378"/>
      <c s="2378"/>
      <c s="2378"/>
      <c s="2378"/>
      <c s="2378"/>
      <c s="2378"/>
      <c s="2378"/>
      <c s="2378"/>
      <c s="2378"/>
      <c s="560">
        <f>SUMIF(T21:T22,"i",Q21:Q22)</f>
        <v>0</v>
      </c>
      <c s="1019"/>
      <c s="711" t="s">
        <v>614</v>
      </c>
      <c s="719" t="s">
        <v>612</v>
      </c>
      <c s="2376">
        <v>2</v>
      </c>
      <c s="2376" t="str">
        <f>INDEX(B_FHD_FLAG_INDEX_2,1,MATCH(A14,B_FHD_FLAG_DIFFERENTIATION,0))</f>
        <v>отсутствует</v>
      </c>
      <c s="419"/>
      <c s="419"/>
      <c s="419"/>
      <c s="419"/>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1" spans="1:84" s="1852" customFormat="1" ht="11.25" customHeight="1" hidden="1">
      <c r="A21" s="710"/>
      <c s="513"/>
      <c s="513"/>
      <c s="2383"/>
      <c s="637"/>
      <c s="637">
        <v>0</v>
      </c>
      <c s="637"/>
      <c s="637"/>
      <c s="637"/>
      <c s="637"/>
      <c s="637"/>
      <c s="637"/>
      <c s="637"/>
      <c s="637"/>
      <c s="637"/>
      <c s="637"/>
      <c s="637"/>
      <c s="637"/>
      <c s="638"/>
      <c s="720"/>
      <c s="2376"/>
      <c s="2376"/>
      <c s="513"/>
      <c s="513"/>
      <c s="513"/>
      <c s="513"/>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295">
        <v>0</v>
      </c>
    </row>
    <row r="22" spans="1:84" s="1852" customFormat="1" ht="11.25" customHeight="1" hidden="1">
      <c r="A22" s="635"/>
      <c s="419"/>
      <c s="414"/>
      <c s="2384"/>
      <c s="651" t="s">
        <v>22</v>
      </c>
      <c s="652" t="s">
        <v>22</v>
      </c>
      <c s="652" t="s">
        <v>22</v>
      </c>
      <c s="653" t="s">
        <v>22</v>
      </c>
      <c s="653"/>
      <c s="653"/>
      <c s="653"/>
      <c s="653"/>
      <c s="653"/>
      <c s="653"/>
      <c s="653"/>
      <c s="653"/>
      <c s="653"/>
      <c s="654"/>
      <c s="1022"/>
      <c s="720"/>
      <c s="2376"/>
      <c s="2376"/>
      <c s="419"/>
      <c s="419"/>
      <c s="419"/>
      <c s="419"/>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3" spans="4:20 84:84" ht="19.95" customHeight="1">
      <c r="D23" s="1049"/>
      <c s="1049"/>
      <c s="1049"/>
      <c s="1049"/>
      <c s="1049"/>
      <c s="1049"/>
      <c s="1049"/>
      <c s="1049"/>
      <c s="1049"/>
      <c s="1049"/>
      <c s="1049"/>
      <c s="1049"/>
      <c s="1049"/>
      <c s="1049"/>
      <c s="1049"/>
      <c s="1049"/>
      <c s="336"/>
      <c r="CF23" s="507">
        <v>19</v>
      </c>
    </row>
    <row r="24" spans="4:4 84:84" ht="11.55" customHeight="1">
      <c r="D24" s="511"/>
      <c r="CF24" s="507">
        <v>11</v>
      </c>
    </row>
    <row r="25" spans="4:7 84:84" ht="11.55" customHeight="1">
      <c r="D25" s="656"/>
      <c s="656"/>
      <c s="656"/>
      <c s="657"/>
      <c r="CF25" s="507">
        <v>11</v>
      </c>
    </row>
    <row r="26" spans="84:84" ht="11.55" customHeight="1">
      <c r="CF26" s="507">
        <v>11</v>
      </c>
    </row>
    <row r="27" spans="4:18 84:84" ht="11.55" customHeight="1">
      <c r="D27" s="658"/>
      <c s="2386"/>
      <c s="2386"/>
      <c s="2386"/>
      <c s="2386"/>
      <c s="2386"/>
      <c s="2386"/>
      <c s="2386"/>
      <c s="2386"/>
      <c s="2386"/>
      <c s="2386"/>
      <c s="2386"/>
      <c s="2386"/>
      <c s="2386"/>
      <c s="2386"/>
      <c r="CF27" s="507">
        <v>11</v>
      </c>
    </row>
    <row r="28" spans="6:7 84:84" ht="11.55" customHeight="1">
      <c r="F28" s="760"/>
      <c s="760"/>
      <c r="CF28" s="507">
        <v>11</v>
      </c>
    </row>
    <row r="29" spans="1:84" ht="11.25" customHeight="1" hidden="1">
      <c r="A29" s="612" t="s">
        <v>81</v>
      </c>
      <c s="451">
        <v>0</v>
      </c>
      <c s="507">
        <v>3</v>
      </c>
      <c s="507">
        <v>0</v>
      </c>
      <c s="507">
        <v>7</v>
      </c>
      <c s="507">
        <v>7</v>
      </c>
      <c s="507">
        <v>29</v>
      </c>
      <c s="507">
        <v>3</v>
      </c>
      <c s="507">
        <v>5</v>
      </c>
      <c s="507">
        <v>24</v>
      </c>
      <c s="507">
        <v>24</v>
      </c>
      <c s="507">
        <v>3</v>
      </c>
      <c s="507">
        <v>6</v>
      </c>
      <c s="507">
        <v>25</v>
      </c>
      <c s="507">
        <v>18</v>
      </c>
      <c s="507">
        <v>18</v>
      </c>
      <c s="507">
        <v>18</v>
      </c>
      <c s="507">
        <v>18</v>
      </c>
      <c s="507">
        <v>93</v>
      </c>
      <c s="507">
        <v>10</v>
      </c>
      <c s="613">
        <v>10</v>
      </c>
      <c s="613">
        <v>11</v>
      </c>
      <c s="614">
        <v>10</v>
      </c>
      <c s="451">
        <v>10</v>
      </c>
      <c s="451">
        <v>10</v>
      </c>
      <c s="451">
        <v>10</v>
      </c>
      <c s="451">
        <v>10</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668E922-F3A1-9758-ACF9-0.3D652E8E}" mc:Ignorable="x14ac xr xr2 xr3">
  <sheetPr>
    <tabColor theme="9" tint="-0.249980002641678"/>
  </sheetPr>
  <dimension ref="A1:AK204"/>
  <sheetViews>
    <sheetView showGridLines="0" zoomScale="90" zoomScaleNormal="90" workbookViewId="0" topLeftCell="A1">
      <selection pane="topLeft" activeCell="A1" sqref="A1"/>
    </sheetView>
  </sheetViews>
  <sheetFormatPr defaultColWidth="9.14428571428571" defaultRowHeight="11.25" customHeight="1"/>
  <cols>
    <col min="1" max="5" width="10.7142857142857" style="989" hidden="1" customWidth="1"/>
    <col min="6" max="6" width="16.8571428571429" style="1368" hidden="1" customWidth="1"/>
    <col min="7" max="7" width="5.57142857142857" style="1644" hidden="1" customWidth="1"/>
    <col min="8" max="8" width="3" style="1637" customWidth="1"/>
    <col min="9" max="9" width="7" style="1637" customWidth="1"/>
    <col min="10" max="10" width="56" style="1637" customWidth="1"/>
    <col min="11" max="11" width="10" style="1637" customWidth="1"/>
    <col min="12" max="12" width="40.5714285714286" style="1637" hidden="1" customWidth="1"/>
    <col min="13" max="13" width="40.7142857142857" style="1637" customWidth="1"/>
    <col min="14" max="14" width="9.71428571428571" style="1368" hidden="1" customWidth="1"/>
    <col min="15" max="15" width="102" style="1637" customWidth="1"/>
    <col min="16" max="16" width="9" style="1368" customWidth="1"/>
    <col min="17" max="17" width="5" style="1644" customWidth="1"/>
    <col min="18" max="18" width="3" style="1644" customWidth="1"/>
    <col min="19" max="22" width="3" style="1368" customWidth="1"/>
    <col min="23" max="23" width="10" style="1644" customWidth="1"/>
    <col min="24" max="24" width="34" style="1368" customWidth="1"/>
    <col min="25" max="25" width="9" style="1368" customWidth="1"/>
    <col min="26" max="26" width="8" style="738" customWidth="1"/>
    <col min="27" max="31" width="8" style="1368" customWidth="1"/>
    <col min="32" max="36" width="8" style="1634" customWidth="1"/>
    <col min="37" max="37" width="5.42857142857143" style="1637" hidden="1" customWidth="1"/>
  </cols>
  <sheetData>
    <row r="1" spans="1:37" s="1368" customFormat="1" ht="33.75" customHeight="1" hidden="1">
      <c r="A1" s="989"/>
      <c s="989"/>
      <c s="989"/>
      <c s="989"/>
      <c s="989"/>
      <c r="G1" s="1638"/>
      <c s="880"/>
      <c r="L1" s="1368">
        <v>4</v>
      </c>
      <c s="1368">
        <v>4</v>
      </c>
      <c r="Q1" s="1638"/>
      <c s="1638"/>
      <c r="W1" s="1638"/>
      <c r="AK1" s="1368" t="s">
        <v>14</v>
      </c>
    </row>
    <row r="2" spans="1:37" s="1368" customFormat="1" ht="78.75" customHeight="1" hidden="1">
      <c r="A2" s="989"/>
      <c s="2055" t="s">
        <v>615</v>
      </c>
      <c s="2055" t="s">
        <v>616</v>
      </c>
      <c s="2054" t="s">
        <v>617</v>
      </c>
      <c s="2058">
        <f>RIGHT(I2,LEN(I2)-SEARCH("#",SUBSTITUTE(I2,".","#",LEN(I2)-LEN(SUBSTITUTE(I2,".","")))))</f>
      </c>
      <c s="2060">
        <f>J2</f>
        <v>0</v>
      </c>
      <c s="1638"/>
      <c s="2061"/>
      <c s="2051"/>
      <c s="542"/>
      <c s="2021" t="s">
        <v>556</v>
      </c>
      <c s="753"/>
      <c s="753"/>
      <c s="545"/>
      <c s="1527" t="s">
        <v>557</v>
      </c>
      <c s="545"/>
      <c s="1638"/>
      <c s="1638"/>
      <c r="W2" s="1638"/>
      <c r="Z2" s="546"/>
      <c r="AF2" s="1634"/>
      <c s="1634"/>
      <c s="1634"/>
      <c s="1634"/>
      <c s="1634"/>
      <c s="1368">
        <v>0</v>
      </c>
    </row>
    <row r="3" spans="5:37" ht="11.25" customHeight="1" hidden="1">
      <c r="E3" s="2053" t="s">
        <v>618</v>
      </c>
      <c r="L3" s="1633">
        <f>0</f>
        <v>0</v>
      </c>
      <c s="1633">
        <v>1</v>
      </c>
      <c r="AK3" s="1633">
        <v>0</v>
      </c>
    </row>
    <row r="4" spans="1:37" s="1634" customFormat="1" ht="11.25" customHeight="1" hidden="1">
      <c r="A4" s="989"/>
      <c s="989"/>
      <c s="989"/>
      <c r="E4" s="989"/>
      <c s="1368"/>
      <c s="1638"/>
      <c s="622"/>
      <c r="N4" s="1368"/>
      <c s="1634">
        <v>4</v>
      </c>
      <c s="1368"/>
      <c s="1638"/>
      <c s="1638"/>
      <c s="1368"/>
      <c s="1368"/>
      <c s="1368"/>
      <c s="1368"/>
      <c s="1638"/>
      <c s="1368"/>
      <c s="1368"/>
      <c s="546"/>
      <c s="1368"/>
      <c s="1368"/>
      <c s="1368"/>
      <c s="1368"/>
      <c s="1368"/>
      <c r="AK4" s="1634">
        <v>0</v>
      </c>
    </row>
    <row r="5" spans="37:37" ht="11.55" customHeight="1">
      <c r="AK5" s="1633">
        <v>11</v>
      </c>
    </row>
    <row r="6" spans="9:37" ht="57.75" customHeight="1">
      <c r="I6" s="2309" t="s">
        <v>619</v>
      </c>
      <c s="2309"/>
      <c s="2309"/>
      <c s="2309"/>
      <c s="2309"/>
      <c r="O6" s="558"/>
      <c r="AK6" s="1633">
        <v>55</v>
      </c>
    </row>
    <row r="7" spans="9:37" ht="25.2" customHeight="1">
      <c r="I7" s="2251" t="str">
        <f>IF(org=0,"Не определено",org)</f>
        <v>ГУП КК "Кубаньводкомплекс"</v>
      </c>
      <c s="2251"/>
      <c s="2251"/>
      <c s="2251"/>
      <c s="2251"/>
      <c r="AK7" s="1633">
        <v>24</v>
      </c>
    </row>
    <row r="8" spans="9:37" ht="11.55" customHeight="1">
      <c r="I8" s="1137"/>
      <c s="1137"/>
      <c s="1137"/>
      <c s="1137"/>
      <c s="1137"/>
      <c r="AK8" s="1633">
        <v>11</v>
      </c>
    </row>
    <row r="9" spans="1:37" s="1644" customFormat="1" ht="30" customHeight="1" hidden="1">
      <c r="A9" s="1169"/>
      <c s="1169"/>
      <c s="1169"/>
      <c r="E9" s="1169"/>
      <c r="H9" s="1644"/>
      <c r="L9" s="891"/>
      <c s="891" t="s">
        <v>118</v>
      </c>
      <c r="AK9" s="1638">
        <v>1</v>
      </c>
    </row>
    <row r="10" spans="5:37" ht="11.55" customHeight="1">
      <c r="E10" s="2052" t="s">
        <v>620</v>
      </c>
      <c r="I10" s="713"/>
      <c s="2369" t="s">
        <v>105</v>
      </c>
      <c s="2370"/>
      <c s="2031" t="str">
        <f>IF(L9="","",INDEX(DIFFERENTIATION_UNMERGE_VD,MATCH(L9,DIFFERENTIATION_ID_DIFF,0)))</f>
        <v/>
      </c>
      <c s="2031" t="str">
        <f>IF(M9="","",INDEX(DIFFERENTIATION_UNMERGE_VD,MATCH(M9,DIFFERENTIATION_ID_DIFF,0)))</f>
        <v>Водоотведение; Транспортировка; Подключение (технологическое присоединение) к централизованной системе водоотведения</v>
      </c>
      <c r="O10" s="2129" t="s">
        <v>301</v>
      </c>
      <c r="AK10" s="1633">
        <v>11</v>
      </c>
    </row>
    <row r="11" spans="5:37" ht="11.55" customHeight="1">
      <c r="E11" s="2052" t="s">
        <v>621</v>
      </c>
      <c r="I11" s="713"/>
      <c s="2369" t="s">
        <v>564</v>
      </c>
      <c s="2370"/>
      <c s="2031" t="str">
        <f>IF(L9="","",INDEX(DIFFERENTIATION_UNMERGE_AREA,MATCH(L9,DIFFERENTIATION_ID_DIFF,0)))</f>
        <v/>
      </c>
      <c s="2031" t="str">
        <f>IF(M9="","",INDEX(DIFFERENTIATION_UNMERGE_AREA,MATCH(M9,DIFFERENTIATION_ID_DIFF,0)))</f>
        <v>Территория 1</v>
      </c>
      <c r="O11" s="2129"/>
      <c r="AK11" s="1633">
        <v>11</v>
      </c>
    </row>
    <row r="12" spans="5:37" ht="11.55" customHeight="1">
      <c r="E12" s="2052" t="s">
        <v>622</v>
      </c>
      <c r="I12" s="1664"/>
      <c s="2369" t="s">
        <v>565</v>
      </c>
      <c s="2370"/>
      <c s="2031" t="str">
        <f>IF(L9="","",INDEX(DIFFERENTIATION_UNMERGE_SYSTEM,MATCH(L9,DIFFERENTIATION_ID_DIFF,0)))</f>
        <v/>
      </c>
      <c s="2031" t="str">
        <f>IF(M9="","",INDEX(DIFFERENTIATION_UNMERGE_SYSTEM,MATCH(M9,DIFFERENTIATION_ID_DIFF,0)))</f>
        <v>Ейский групповой водопровод (разводящие сети водоотведения)</v>
      </c>
      <c r="O12" s="2129"/>
      <c r="AK12" s="1633">
        <v>11</v>
      </c>
    </row>
    <row r="13" spans="5:37" ht="11.55" customHeight="1">
      <c r="E13" s="2052" t="s">
        <v>623</v>
      </c>
      <c s="2052" t="s">
        <v>624</v>
      </c>
      <c r="I13" s="2371" t="s">
        <v>300</v>
      </c>
      <c s="2372"/>
      <c s="2372"/>
      <c s="2029"/>
      <c s="2069"/>
      <c r="O13" s="2129"/>
      <c r="AK13" s="1633">
        <v>11</v>
      </c>
    </row>
    <row r="14" spans="9:37" ht="24" customHeight="1">
      <c r="I14" s="2022" t="s">
        <v>87</v>
      </c>
      <c s="2022" t="s">
        <v>302</v>
      </c>
      <c s="2022" t="s">
        <v>566</v>
      </c>
      <c s="2062" t="s">
        <v>303</v>
      </c>
      <c s="2063" t="s">
        <v>303</v>
      </c>
      <c r="O14" s="2129"/>
      <c r="AK14" s="1633">
        <v>23</v>
      </c>
    </row>
    <row r="15" spans="1:37" ht="24" customHeight="1">
      <c r="A15" s="2056"/>
      <c s="2055" t="s">
        <v>625</v>
      </c>
      <c s="2055" t="s">
        <v>626</v>
      </c>
      <c s="2054" t="s">
        <v>627</v>
      </c>
      <c s="2058" t="s">
        <v>628</v>
      </c>
      <c s="2058" t="s">
        <v>628</v>
      </c>
      <c s="1638" t="s">
        <v>588</v>
      </c>
      <c s="2023"/>
      <c s="1632">
        <v>1</v>
      </c>
      <c s="2024" t="s">
        <v>629</v>
      </c>
      <c s="2022" t="s">
        <v>306</v>
      </c>
      <c s="664"/>
      <c s="820"/>
      <c s="545" t="s">
        <v>630</v>
      </c>
      <c s="1527" t="s">
        <v>631</v>
      </c>
      <c s="545" t="s">
        <v>630</v>
      </c>
      <c r="AK15" s="1633">
        <v>23</v>
      </c>
    </row>
    <row r="16" spans="1:37" ht="35.7" customHeight="1">
      <c r="A16" s="2056"/>
      <c s="2055" t="s">
        <v>632</v>
      </c>
      <c s="2055" t="s">
        <v>633</v>
      </c>
      <c s="2054" t="s">
        <v>617</v>
      </c>
      <c s="2058" t="s">
        <v>628</v>
      </c>
      <c s="2058" t="s">
        <v>628</v>
      </c>
      <c r="H16" s="2023"/>
      <c s="1631">
        <v>2</v>
      </c>
      <c s="2065" t="s">
        <v>634</v>
      </c>
      <c s="2064" t="s">
        <v>556</v>
      </c>
      <c s="2070"/>
      <c s="1678"/>
      <c s="545" t="s">
        <v>630</v>
      </c>
      <c s="1527" t="s">
        <v>635</v>
      </c>
      <c s="545" t="s">
        <v>630</v>
      </c>
      <c r="AK16" s="1633">
        <v>34</v>
      </c>
    </row>
    <row r="17" spans="1:37" s="1644" customFormat="1" ht="17.25" customHeight="1" hidden="1">
      <c r="A17" s="1169"/>
      <c s="1169"/>
      <c s="1169"/>
      <c s="1169"/>
      <c s="1169"/>
      <c r="H17" s="1326"/>
      <c s="1015" t="s">
        <v>636</v>
      </c>
      <c s="993"/>
      <c s="1015"/>
      <c s="994"/>
      <c s="994"/>
      <c r="O17" s="1387"/>
      <c r="AK17" s="1638">
        <v>1</v>
      </c>
    </row>
    <row r="18" spans="1:37" s="1368" customFormat="1" ht="24" customHeight="1">
      <c r="A18" s="989"/>
      <c s="989"/>
      <c s="989"/>
      <c s="989"/>
      <c s="989"/>
      <c r="G18" s="1638"/>
      <c s="1635"/>
      <c s="572"/>
      <c s="573" t="s">
        <v>586</v>
      </c>
      <c s="574"/>
      <c s="2072"/>
      <c s="575"/>
      <c s="545"/>
      <c s="1527" t="s">
        <v>587</v>
      </c>
      <c s="545"/>
      <c s="1638"/>
      <c s="1638"/>
      <c r="W18" s="1638"/>
      <c r="Z18" s="546"/>
      <c r="AF18" s="1634"/>
      <c s="1634"/>
      <c s="1634"/>
      <c s="1634"/>
      <c s="1634"/>
      <c s="1368">
        <v>23</v>
      </c>
    </row>
    <row r="19" spans="1:37" ht="19.95" customHeight="1">
      <c r="A19" s="2056"/>
      <c s="2055" t="s">
        <v>637</v>
      </c>
      <c s="2055" t="s">
        <v>638</v>
      </c>
      <c s="2054" t="s">
        <v>617</v>
      </c>
      <c s="2058" t="s">
        <v>628</v>
      </c>
      <c s="2058" t="s">
        <v>628</v>
      </c>
      <c r="H19" s="2023"/>
      <c s="1666">
        <v>3</v>
      </c>
      <c s="2024" t="s">
        <v>638</v>
      </c>
      <c s="2020" t="s">
        <v>556</v>
      </c>
      <c s="729"/>
      <c s="559"/>
      <c s="545"/>
      <c s="1527" t="s">
        <v>639</v>
      </c>
      <c s="545"/>
      <c r="AK19" s="1633">
        <v>19</v>
      </c>
    </row>
    <row r="20" spans="1:37" ht="77.7" customHeight="1">
      <c r="A20" s="2056"/>
      <c s="2055" t="s">
        <v>640</v>
      </c>
      <c s="2055" t="s">
        <v>641</v>
      </c>
      <c s="2054" t="s">
        <v>617</v>
      </c>
      <c s="2058" t="s">
        <v>628</v>
      </c>
      <c s="2058" t="s">
        <v>628</v>
      </c>
      <c r="H20" s="2023"/>
      <c s="1666">
        <v>4</v>
      </c>
      <c s="2024" t="s">
        <v>642</v>
      </c>
      <c s="2020" t="s">
        <v>583</v>
      </c>
      <c s="729"/>
      <c s="559"/>
      <c s="545"/>
      <c s="1527"/>
      <c s="545"/>
      <c r="AK20" s="1633">
        <v>74</v>
      </c>
    </row>
    <row r="21" spans="1:37" ht="35.7" customHeight="1">
      <c r="A21" s="2056"/>
      <c s="2055" t="s">
        <v>643</v>
      </c>
      <c s="2055" t="s">
        <v>644</v>
      </c>
      <c s="2054" t="s">
        <v>617</v>
      </c>
      <c s="2058" t="s">
        <v>628</v>
      </c>
      <c s="2058" t="s">
        <v>628</v>
      </c>
      <c r="H21" s="2023"/>
      <c s="1666">
        <v>5</v>
      </c>
      <c s="2024" t="s">
        <v>645</v>
      </c>
      <c s="2020" t="s">
        <v>583</v>
      </c>
      <c s="729"/>
      <c s="559"/>
      <c s="545"/>
      <c s="1527" t="s">
        <v>639</v>
      </c>
      <c s="545"/>
      <c r="AK21" s="1633">
        <v>34</v>
      </c>
    </row>
    <row r="22" spans="1:37" ht="48.3" customHeight="1">
      <c r="A22" s="2056"/>
      <c s="2055" t="s">
        <v>646</v>
      </c>
      <c s="2055" t="s">
        <v>647</v>
      </c>
      <c s="2054" t="s">
        <v>617</v>
      </c>
      <c s="2058" t="s">
        <v>628</v>
      </c>
      <c s="2058" t="s">
        <v>628</v>
      </c>
      <c r="H22" s="2023"/>
      <c s="1666">
        <v>6</v>
      </c>
      <c s="2024" t="s">
        <v>648</v>
      </c>
      <c s="2020" t="s">
        <v>583</v>
      </c>
      <c s="729"/>
      <c s="559"/>
      <c s="545"/>
      <c s="1527" t="s">
        <v>649</v>
      </c>
      <c s="545"/>
      <c r="AK22" s="1633">
        <v>46</v>
      </c>
    </row>
    <row r="23" spans="1:37" ht="19.95" customHeight="1">
      <c r="A23" s="2056"/>
      <c s="2055" t="s">
        <v>650</v>
      </c>
      <c s="2055" t="s">
        <v>651</v>
      </c>
      <c s="2054" t="s">
        <v>617</v>
      </c>
      <c s="2058" t="s">
        <v>628</v>
      </c>
      <c s="2058" t="s">
        <v>628</v>
      </c>
      <c r="H23" s="2023"/>
      <c s="1666" t="s">
        <v>652</v>
      </c>
      <c s="1526" t="s">
        <v>653</v>
      </c>
      <c s="2020" t="s">
        <v>583</v>
      </c>
      <c s="729"/>
      <c s="559"/>
      <c s="545"/>
      <c s="1527" t="s">
        <v>639</v>
      </c>
      <c s="545"/>
      <c r="AK23" s="1633">
        <v>19</v>
      </c>
    </row>
    <row r="24" spans="1:37" ht="19.95" customHeight="1">
      <c r="A24" s="2056"/>
      <c s="2055" t="s">
        <v>654</v>
      </c>
      <c s="2055" t="s">
        <v>655</v>
      </c>
      <c s="2054" t="s">
        <v>617</v>
      </c>
      <c s="2058" t="s">
        <v>628</v>
      </c>
      <c s="2058" t="s">
        <v>628</v>
      </c>
      <c r="H24" s="2023"/>
      <c s="1666" t="s">
        <v>656</v>
      </c>
      <c s="1526" t="s">
        <v>657</v>
      </c>
      <c s="2020" t="s">
        <v>583</v>
      </c>
      <c s="729"/>
      <c s="559"/>
      <c s="545"/>
      <c s="1527"/>
      <c s="545"/>
      <c r="AK24" s="1633">
        <v>19</v>
      </c>
    </row>
    <row r="25" spans="1:37" ht="24" customHeight="1">
      <c r="A25" s="2056"/>
      <c s="2055" t="s">
        <v>658</v>
      </c>
      <c s="2055" t="s">
        <v>659</v>
      </c>
      <c s="2054" t="s">
        <v>617</v>
      </c>
      <c s="2058" t="s">
        <v>628</v>
      </c>
      <c s="2058" t="s">
        <v>628</v>
      </c>
      <c r="H25" s="2023"/>
      <c s="1666" t="s">
        <v>660</v>
      </c>
      <c s="1526" t="s">
        <v>661</v>
      </c>
      <c s="2020" t="s">
        <v>583</v>
      </c>
      <c s="729"/>
      <c s="559"/>
      <c s="545"/>
      <c s="1527"/>
      <c s="545"/>
      <c r="AK25" s="1633">
        <v>23</v>
      </c>
    </row>
    <row r="26" spans="1:37" ht="24" customHeight="1">
      <c r="A26" s="2056"/>
      <c s="2055" t="s">
        <v>662</v>
      </c>
      <c s="2055" t="s">
        <v>663</v>
      </c>
      <c s="2054" t="s">
        <v>617</v>
      </c>
      <c s="2058" t="s">
        <v>628</v>
      </c>
      <c s="2058" t="s">
        <v>628</v>
      </c>
      <c r="H26" s="2023"/>
      <c s="1666">
        <v>7</v>
      </c>
      <c s="2024" t="s">
        <v>663</v>
      </c>
      <c s="2020" t="s">
        <v>664</v>
      </c>
      <c s="729"/>
      <c s="559"/>
      <c s="545"/>
      <c s="1527"/>
      <c s="545"/>
      <c r="AK26" s="1633">
        <v>23</v>
      </c>
    </row>
    <row r="27" spans="1:37" ht="24" customHeight="1">
      <c r="A27" s="2056"/>
      <c s="2055" t="s">
        <v>665</v>
      </c>
      <c s="2055" t="s">
        <v>666</v>
      </c>
      <c s="2054" t="s">
        <v>617</v>
      </c>
      <c s="2058" t="s">
        <v>628</v>
      </c>
      <c s="2058" t="s">
        <v>628</v>
      </c>
      <c r="H27" s="2023"/>
      <c s="1666">
        <v>8</v>
      </c>
      <c s="2024" t="s">
        <v>666</v>
      </c>
      <c s="2020" t="s">
        <v>589</v>
      </c>
      <c s="729"/>
      <c s="559"/>
      <c s="545"/>
      <c s="1527"/>
      <c s="545"/>
      <c r="AK27" s="1633">
        <v>23</v>
      </c>
    </row>
    <row r="28" spans="1:37" ht="35.7" customHeight="1">
      <c r="A28" s="2056"/>
      <c s="2055" t="s">
        <v>667</v>
      </c>
      <c s="2055" t="s">
        <v>668</v>
      </c>
      <c s="2054" t="s">
        <v>617</v>
      </c>
      <c s="2058" t="s">
        <v>628</v>
      </c>
      <c s="2058" t="s">
        <v>628</v>
      </c>
      <c r="H28" s="2023"/>
      <c s="1677">
        <v>9</v>
      </c>
      <c s="2024" t="s">
        <v>669</v>
      </c>
      <c s="2020" t="s">
        <v>560</v>
      </c>
      <c s="729"/>
      <c s="559"/>
      <c s="545"/>
      <c s="1527"/>
      <c s="545"/>
      <c r="AK28" s="1633">
        <v>34</v>
      </c>
    </row>
    <row r="29" spans="1:37" ht="35.7" customHeight="1">
      <c r="A29" s="2056"/>
      <c s="2055" t="s">
        <v>670</v>
      </c>
      <c s="2055" t="s">
        <v>671</v>
      </c>
      <c s="2054" t="s">
        <v>617</v>
      </c>
      <c s="2058" t="s">
        <v>628</v>
      </c>
      <c s="2058" t="s">
        <v>628</v>
      </c>
      <c r="H29" s="2023"/>
      <c s="1677">
        <v>10</v>
      </c>
      <c s="2024" t="s">
        <v>672</v>
      </c>
      <c s="2020" t="s">
        <v>560</v>
      </c>
      <c s="729"/>
      <c s="559"/>
      <c s="545"/>
      <c s="1527"/>
      <c s="545"/>
      <c r="AK29" s="1633">
        <v>34</v>
      </c>
    </row>
    <row r="30" spans="1:37" ht="24" customHeight="1">
      <c r="A30" s="2056"/>
      <c s="2055" t="s">
        <v>673</v>
      </c>
      <c s="2055" t="s">
        <v>674</v>
      </c>
      <c s="2054" t="s">
        <v>617</v>
      </c>
      <c s="2058" t="s">
        <v>628</v>
      </c>
      <c s="2058" t="s">
        <v>628</v>
      </c>
      <c r="H30" s="2023"/>
      <c s="1677">
        <v>11</v>
      </c>
      <c s="2024" t="s">
        <v>674</v>
      </c>
      <c s="2020" t="s">
        <v>590</v>
      </c>
      <c s="2071"/>
      <c s="1623"/>
      <c s="545"/>
      <c s="1527"/>
      <c s="545"/>
      <c r="AK30" s="1633">
        <v>23</v>
      </c>
    </row>
    <row r="31" spans="1:37" ht="24" customHeight="1">
      <c r="A31" s="2056"/>
      <c s="2055" t="s">
        <v>675</v>
      </c>
      <c s="2055" t="s">
        <v>676</v>
      </c>
      <c s="2054" t="s">
        <v>617</v>
      </c>
      <c s="2058" t="s">
        <v>628</v>
      </c>
      <c s="2058" t="s">
        <v>628</v>
      </c>
      <c r="H31" s="2023"/>
      <c s="1677">
        <v>12</v>
      </c>
      <c s="2024" t="s">
        <v>676</v>
      </c>
      <c s="2020" t="s">
        <v>590</v>
      </c>
      <c s="2071"/>
      <c s="1623"/>
      <c s="545"/>
      <c s="1527"/>
      <c s="545"/>
      <c r="AK31" s="1633">
        <v>23</v>
      </c>
    </row>
    <row r="32" spans="1:37" ht="48.3" customHeight="1">
      <c r="A32" s="2056"/>
      <c s="2055" t="s">
        <v>677</v>
      </c>
      <c s="2055" t="s">
        <v>678</v>
      </c>
      <c s="2054" t="s">
        <v>617</v>
      </c>
      <c s="2058" t="s">
        <v>628</v>
      </c>
      <c s="2058" t="s">
        <v>628</v>
      </c>
      <c r="H32" s="2023"/>
      <c s="1677">
        <v>13</v>
      </c>
      <c s="2024" t="s">
        <v>679</v>
      </c>
      <c s="2020" t="s">
        <v>600</v>
      </c>
      <c s="729"/>
      <c s="559"/>
      <c s="545"/>
      <c s="1527" t="s">
        <v>639</v>
      </c>
      <c s="545"/>
      <c r="AK32" s="1633">
        <v>46</v>
      </c>
    </row>
    <row r="33" spans="1:37" s="1368" customFormat="1" ht="48.3" customHeight="1">
      <c r="A33" s="2056"/>
      <c s="2055" t="s">
        <v>680</v>
      </c>
      <c s="2055" t="s">
        <v>681</v>
      </c>
      <c s="2054" t="s">
        <v>617</v>
      </c>
      <c s="2058" t="s">
        <v>628</v>
      </c>
      <c s="2058" t="s">
        <v>628</v>
      </c>
      <c s="1638"/>
      <c s="2023"/>
      <c s="1677">
        <v>14</v>
      </c>
      <c s="2036" t="s">
        <v>682</v>
      </c>
      <c s="2025" t="s">
        <v>683</v>
      </c>
      <c s="729"/>
      <c s="559"/>
      <c s="545"/>
      <c s="1527" t="s">
        <v>639</v>
      </c>
      <c s="545"/>
      <c s="1638"/>
      <c s="1638"/>
      <c r="W33" s="1638"/>
      <c r="Z33" s="546"/>
      <c r="AF33" s="1634"/>
      <c s="1634"/>
      <c s="1634"/>
      <c s="1634"/>
      <c s="1634"/>
      <c s="1368">
        <v>46</v>
      </c>
    </row>
    <row r="34" spans="1:37" ht="108" customHeight="1">
      <c r="A34" s="2056"/>
      <c s="2055" t="s">
        <v>684</v>
      </c>
      <c s="2055" t="s">
        <v>685</v>
      </c>
      <c s="2054" t="s">
        <v>627</v>
      </c>
      <c s="2058" t="s">
        <v>628</v>
      </c>
      <c s="2058" t="s">
        <v>628</v>
      </c>
      <c s="1638" t="s">
        <v>588</v>
      </c>
      <c s="2023"/>
      <c s="2034">
        <v>15</v>
      </c>
      <c s="2035" t="s">
        <v>686</v>
      </c>
      <c s="2020" t="s">
        <v>306</v>
      </c>
      <c s="387"/>
      <c s="1166"/>
      <c s="545"/>
      <c s="1527" t="s">
        <v>631</v>
      </c>
      <c s="545"/>
      <c r="AK34" s="1633">
        <v>103</v>
      </c>
    </row>
    <row r="35" spans="1:37" s="1643" customFormat="1" ht="11.55" customHeight="1">
      <c r="A35" s="989"/>
      <c s="989"/>
      <c s="989"/>
      <c s="989"/>
      <c s="989"/>
      <c s="1638"/>
      <c s="1638"/>
      <c s="353"/>
      <c r="N35" s="1368"/>
      <c r="P35" s="1368"/>
      <c s="1638"/>
      <c s="1638"/>
      <c s="1368"/>
      <c s="1368"/>
      <c s="1368"/>
      <c s="1368"/>
      <c s="1638"/>
      <c s="1368"/>
      <c s="1368"/>
      <c s="546"/>
      <c s="1368"/>
      <c s="1368"/>
      <c s="1368"/>
      <c s="1368"/>
      <c s="1368"/>
      <c s="1634"/>
      <c s="624"/>
      <c s="624"/>
      <c s="624"/>
      <c s="624"/>
      <c s="1643">
        <v>11</v>
      </c>
    </row>
    <row r="36" spans="1:37" s="1643" customFormat="1" ht="11.55" customHeight="1">
      <c r="A36" s="989"/>
      <c s="989"/>
      <c s="989"/>
      <c s="989"/>
      <c s="989"/>
      <c s="1638"/>
      <c s="1638"/>
      <c s="353"/>
      <c r="N36" s="1368"/>
      <c r="P36" s="1368"/>
      <c s="1638"/>
      <c s="1638"/>
      <c s="1368"/>
      <c s="1368"/>
      <c s="1368"/>
      <c s="1368"/>
      <c s="1638"/>
      <c s="1368"/>
      <c s="1368"/>
      <c s="546"/>
      <c s="1368"/>
      <c s="1368"/>
      <c s="1368"/>
      <c s="1368"/>
      <c s="1368"/>
      <c s="1634"/>
      <c s="624"/>
      <c s="624"/>
      <c s="624"/>
      <c s="624"/>
      <c s="1643">
        <v>11</v>
      </c>
    </row>
    <row r="37" spans="1:37" s="1643" customFormat="1" ht="11.55" customHeight="1">
      <c r="A37" s="989"/>
      <c s="989"/>
      <c s="989"/>
      <c s="989"/>
      <c s="989"/>
      <c s="1638"/>
      <c s="1638"/>
      <c s="353"/>
      <c r="L37" s="624"/>
      <c s="624"/>
      <c s="1368"/>
      <c r="P37" s="1368"/>
      <c s="1638"/>
      <c s="1638"/>
      <c s="1368"/>
      <c s="1368"/>
      <c s="1368"/>
      <c s="1368"/>
      <c s="1638"/>
      <c s="1368"/>
      <c s="1368"/>
      <c s="546"/>
      <c s="1368"/>
      <c s="1368"/>
      <c s="1368"/>
      <c s="1368"/>
      <c s="1368"/>
      <c s="1634"/>
      <c s="624"/>
      <c s="624"/>
      <c s="624"/>
      <c s="624"/>
      <c s="1643">
        <v>11</v>
      </c>
    </row>
    <row r="38" spans="1:37" s="1643" customFormat="1" ht="11.55" customHeight="1">
      <c r="A38" s="989"/>
      <c s="989"/>
      <c s="989"/>
      <c s="989"/>
      <c s="989"/>
      <c s="1638"/>
      <c s="1638"/>
      <c s="353"/>
      <c r="N38" s="1368"/>
      <c r="P38" s="1368"/>
      <c s="1638"/>
      <c s="1638"/>
      <c s="1368"/>
      <c s="1368"/>
      <c s="1368"/>
      <c s="1368"/>
      <c s="1638"/>
      <c s="1368"/>
      <c s="1368"/>
      <c s="546"/>
      <c s="1368"/>
      <c s="1368"/>
      <c s="1368"/>
      <c s="1368"/>
      <c s="1368"/>
      <c s="1634"/>
      <c s="624"/>
      <c s="624"/>
      <c s="624"/>
      <c s="624"/>
      <c s="1643">
        <v>11</v>
      </c>
    </row>
    <row r="39" spans="1:37" s="1643" customFormat="1" ht="11.55" customHeight="1">
      <c r="A39" s="989"/>
      <c s="989"/>
      <c s="989"/>
      <c s="989"/>
      <c s="989"/>
      <c s="1638"/>
      <c s="1638"/>
      <c s="353"/>
      <c r="N39" s="1368"/>
      <c r="P39" s="1368"/>
      <c s="1638"/>
      <c s="1638"/>
      <c s="1368"/>
      <c s="1368"/>
      <c s="1368"/>
      <c s="1368"/>
      <c s="1638"/>
      <c s="1368"/>
      <c s="1368"/>
      <c s="546"/>
      <c s="1368"/>
      <c s="1368"/>
      <c s="1368"/>
      <c s="1368"/>
      <c s="1368"/>
      <c s="1634"/>
      <c s="624"/>
      <c s="624"/>
      <c s="624"/>
      <c s="624"/>
      <c s="1643">
        <v>11</v>
      </c>
    </row>
    <row r="40" spans="1:37" s="1643" customFormat="1" ht="11.55" customHeight="1">
      <c r="A40" s="989"/>
      <c s="989"/>
      <c s="989"/>
      <c s="989"/>
      <c s="989"/>
      <c s="1638"/>
      <c s="1638"/>
      <c s="353"/>
      <c r="N40" s="1368"/>
      <c r="P40" s="1368"/>
      <c s="1638"/>
      <c s="1638"/>
      <c s="1368"/>
      <c s="1368"/>
      <c s="1368"/>
      <c s="1368"/>
      <c s="1638"/>
      <c s="1368"/>
      <c s="1368"/>
      <c s="546"/>
      <c s="1368"/>
      <c s="1368"/>
      <c s="1368"/>
      <c s="1368"/>
      <c s="1368"/>
      <c s="1634"/>
      <c s="624"/>
      <c s="624"/>
      <c s="624"/>
      <c s="624"/>
      <c s="1643">
        <v>11</v>
      </c>
    </row>
    <row r="41" spans="1:37" s="1643" customFormat="1" ht="11.55" customHeight="1">
      <c r="A41" s="989"/>
      <c s="989"/>
      <c s="989"/>
      <c s="989"/>
      <c s="989"/>
      <c s="1638"/>
      <c s="1638"/>
      <c s="353"/>
      <c r="N41" s="1368"/>
      <c r="P41" s="1368"/>
      <c s="1638"/>
      <c s="1638"/>
      <c s="1368"/>
      <c s="1368"/>
      <c s="1368"/>
      <c s="1368"/>
      <c s="1638"/>
      <c s="1368"/>
      <c s="1368"/>
      <c s="546"/>
      <c s="1368"/>
      <c s="1368"/>
      <c s="1368"/>
      <c s="1368"/>
      <c s="1368"/>
      <c s="1634"/>
      <c s="624"/>
      <c s="624"/>
      <c s="624"/>
      <c s="624"/>
      <c s="1643">
        <v>11</v>
      </c>
    </row>
    <row r="42" spans="1:37" s="1643" customFormat="1" ht="11.55" customHeight="1">
      <c r="A42" s="989"/>
      <c s="989"/>
      <c s="989"/>
      <c s="989"/>
      <c s="989"/>
      <c s="1638"/>
      <c s="1638"/>
      <c s="353"/>
      <c r="N42" s="1368"/>
      <c r="P42" s="1368"/>
      <c s="1638"/>
      <c s="1638"/>
      <c s="1368"/>
      <c s="1368"/>
      <c s="1368"/>
      <c s="1368"/>
      <c s="1638"/>
      <c s="1368"/>
      <c s="1368"/>
      <c s="546"/>
      <c s="1368"/>
      <c s="1368"/>
      <c s="1368"/>
      <c s="1368"/>
      <c s="1368"/>
      <c s="1634"/>
      <c s="624"/>
      <c s="624"/>
      <c s="624"/>
      <c s="624"/>
      <c s="1643">
        <v>11</v>
      </c>
    </row>
    <row r="43" spans="1:37" s="1643" customFormat="1" ht="11.55" customHeight="1">
      <c r="A43" s="989"/>
      <c s="989"/>
      <c s="989"/>
      <c s="989"/>
      <c s="989"/>
      <c s="1638"/>
      <c s="1638"/>
      <c s="353"/>
      <c r="N43" s="1368"/>
      <c r="P43" s="1368"/>
      <c s="1638"/>
      <c s="1638"/>
      <c s="1368"/>
      <c s="1368"/>
      <c s="1368"/>
      <c s="1368"/>
      <c s="1638"/>
      <c s="1368"/>
      <c s="1368"/>
      <c s="546"/>
      <c s="1368"/>
      <c s="1368"/>
      <c s="1368"/>
      <c s="1368"/>
      <c s="1368"/>
      <c s="1634"/>
      <c s="624"/>
      <c s="624"/>
      <c s="624"/>
      <c s="624"/>
      <c s="1643">
        <v>11</v>
      </c>
    </row>
    <row r="44" spans="1:37" s="1643" customFormat="1" ht="11.55" customHeight="1">
      <c r="A44" s="989"/>
      <c s="989"/>
      <c s="989"/>
      <c s="989"/>
      <c s="989"/>
      <c s="1638"/>
      <c s="1638"/>
      <c s="353"/>
      <c r="N44" s="1368"/>
      <c r="P44" s="1368"/>
      <c s="1638"/>
      <c s="1638"/>
      <c s="1368"/>
      <c s="1368"/>
      <c s="1368"/>
      <c s="1368"/>
      <c s="1638"/>
      <c s="1368"/>
      <c s="1368"/>
      <c s="546"/>
      <c s="1368"/>
      <c s="1368"/>
      <c s="1368"/>
      <c s="1368"/>
      <c s="1368"/>
      <c s="1634"/>
      <c s="624"/>
      <c s="624"/>
      <c s="624"/>
      <c s="624"/>
      <c s="1643">
        <v>11</v>
      </c>
    </row>
    <row r="45" spans="1:37" s="1643" customFormat="1" ht="11.55" customHeight="1">
      <c r="A45" s="989"/>
      <c s="989"/>
      <c s="989"/>
      <c s="989"/>
      <c s="989"/>
      <c s="1638"/>
      <c s="1638"/>
      <c s="353"/>
      <c r="N45" s="1368"/>
      <c r="P45" s="1368"/>
      <c s="1638"/>
      <c s="1638"/>
      <c s="1368"/>
      <c s="1368"/>
      <c s="1368"/>
      <c s="1368"/>
      <c s="1638"/>
      <c s="1368"/>
      <c s="1368"/>
      <c s="546"/>
      <c s="1368"/>
      <c s="1368"/>
      <c s="1368"/>
      <c s="1368"/>
      <c s="1368"/>
      <c s="1634"/>
      <c s="624"/>
      <c s="624"/>
      <c s="624"/>
      <c s="624"/>
      <c s="1643">
        <v>11</v>
      </c>
    </row>
    <row r="46" spans="1:37" s="1643" customFormat="1" ht="11.55" customHeight="1">
      <c r="A46" s="989"/>
      <c s="989"/>
      <c s="989"/>
      <c s="989"/>
      <c s="989"/>
      <c s="1638"/>
      <c s="1638"/>
      <c s="353"/>
      <c r="N46" s="1368"/>
      <c r="P46" s="1368"/>
      <c s="1638"/>
      <c s="1638"/>
      <c s="1368"/>
      <c s="1368"/>
      <c s="1368"/>
      <c s="1368"/>
      <c s="1638"/>
      <c s="1368"/>
      <c s="1368"/>
      <c s="546"/>
      <c s="1368"/>
      <c s="1368"/>
      <c s="1368"/>
      <c s="1368"/>
      <c s="1368"/>
      <c s="1634"/>
      <c s="624"/>
      <c s="624"/>
      <c s="624"/>
      <c s="624"/>
      <c s="1643">
        <v>11</v>
      </c>
    </row>
    <row r="47" spans="1:37" s="1643" customFormat="1" ht="11.55" customHeight="1">
      <c r="A47" s="989"/>
      <c s="989"/>
      <c s="989"/>
      <c s="989"/>
      <c s="989"/>
      <c s="1638"/>
      <c s="1638"/>
      <c s="353"/>
      <c r="N47" s="1368"/>
      <c r="P47" s="1368"/>
      <c s="1638"/>
      <c s="1638"/>
      <c s="1368"/>
      <c s="1368"/>
      <c s="1368"/>
      <c s="1368"/>
      <c s="1638"/>
      <c s="1368"/>
      <c s="1368"/>
      <c s="546"/>
      <c s="1368"/>
      <c s="1368"/>
      <c s="1368"/>
      <c s="1368"/>
      <c s="1368"/>
      <c s="1634"/>
      <c s="624"/>
      <c s="624"/>
      <c s="624"/>
      <c s="624"/>
      <c s="1643">
        <v>11</v>
      </c>
    </row>
    <row r="48" spans="1:37" s="1643" customFormat="1" ht="11.55" customHeight="1">
      <c r="A48" s="989"/>
      <c s="989"/>
      <c s="989"/>
      <c s="989"/>
      <c s="989"/>
      <c s="1638"/>
      <c s="1638"/>
      <c s="353"/>
      <c r="N48" s="1368"/>
      <c r="P48" s="1368"/>
      <c s="1638"/>
      <c s="1638"/>
      <c s="1368"/>
      <c s="1368"/>
      <c s="1368"/>
      <c s="1368"/>
      <c s="1638"/>
      <c s="1368"/>
      <c s="1368"/>
      <c s="546"/>
      <c s="1368"/>
      <c s="1368"/>
      <c s="1368"/>
      <c s="1368"/>
      <c s="1368"/>
      <c s="1634"/>
      <c s="624"/>
      <c s="624"/>
      <c s="624"/>
      <c s="624"/>
      <c s="1643">
        <v>11</v>
      </c>
    </row>
    <row r="49" spans="1:37" s="1643" customFormat="1" ht="11.55" customHeight="1">
      <c r="A49" s="989"/>
      <c s="989"/>
      <c s="989"/>
      <c s="989"/>
      <c s="989"/>
      <c s="1638"/>
      <c s="1638"/>
      <c s="353"/>
      <c r="N49" s="1368"/>
      <c r="P49" s="1368"/>
      <c s="1638"/>
      <c s="1638"/>
      <c s="1368"/>
      <c s="1368"/>
      <c s="1368"/>
      <c s="1368"/>
      <c s="1638"/>
      <c s="1368"/>
      <c s="1368"/>
      <c s="546"/>
      <c s="1368"/>
      <c s="1368"/>
      <c s="1368"/>
      <c s="1368"/>
      <c s="1368"/>
      <c s="1634"/>
      <c s="624"/>
      <c s="624"/>
      <c s="624"/>
      <c s="624"/>
      <c s="1643">
        <v>11</v>
      </c>
    </row>
    <row r="50" spans="1:37" s="1643" customFormat="1" ht="11.55" customHeight="1">
      <c r="A50" s="989"/>
      <c s="989"/>
      <c s="989"/>
      <c s="989"/>
      <c s="989"/>
      <c s="1638"/>
      <c s="1638"/>
      <c s="353"/>
      <c r="N50" s="1368"/>
      <c r="P50" s="1368"/>
      <c s="1638"/>
      <c s="1638"/>
      <c s="1368"/>
      <c s="1368"/>
      <c s="1368"/>
      <c s="1368"/>
      <c s="1638"/>
      <c s="1368"/>
      <c s="1368"/>
      <c s="546"/>
      <c s="1368"/>
      <c s="1368"/>
      <c s="1368"/>
      <c s="1368"/>
      <c s="1368"/>
      <c s="1634"/>
      <c s="624"/>
      <c s="624"/>
      <c s="624"/>
      <c s="624"/>
      <c s="1643">
        <v>11</v>
      </c>
    </row>
    <row r="51" spans="1:37" s="1643" customFormat="1" ht="11.55" customHeight="1">
      <c r="A51" s="989"/>
      <c s="989"/>
      <c s="989"/>
      <c s="989"/>
      <c s="989"/>
      <c s="1638"/>
      <c s="1638"/>
      <c s="353"/>
      <c r="N51" s="1368"/>
      <c r="P51" s="1368"/>
      <c s="1638"/>
      <c s="1638"/>
      <c s="1368"/>
      <c s="1368"/>
      <c s="1368"/>
      <c s="1368"/>
      <c s="1638"/>
      <c s="1368"/>
      <c s="1368"/>
      <c s="546"/>
      <c s="1368"/>
      <c s="1368"/>
      <c s="1368"/>
      <c s="1368"/>
      <c s="1368"/>
      <c s="1634"/>
      <c s="624"/>
      <c s="624"/>
      <c s="624"/>
      <c s="624"/>
      <c s="1643">
        <v>11</v>
      </c>
    </row>
    <row r="52" spans="1:37" s="1643" customFormat="1" ht="11.55" customHeight="1">
      <c r="A52" s="989"/>
      <c s="989"/>
      <c s="989"/>
      <c s="989"/>
      <c s="989"/>
      <c s="1638"/>
      <c s="1638"/>
      <c s="353"/>
      <c r="N52" s="1368"/>
      <c r="P52" s="1368"/>
      <c s="1638"/>
      <c s="1638"/>
      <c s="1368"/>
      <c s="1368"/>
      <c s="1368"/>
      <c s="1368"/>
      <c s="1638"/>
      <c s="1368"/>
      <c s="1368"/>
      <c s="546"/>
      <c s="1368"/>
      <c s="1368"/>
      <c s="1368"/>
      <c s="1368"/>
      <c s="1368"/>
      <c s="1634"/>
      <c s="624"/>
      <c s="624"/>
      <c s="624"/>
      <c s="624"/>
      <c s="1643">
        <v>11</v>
      </c>
    </row>
    <row r="53" spans="1:37" s="1643" customFormat="1" ht="11.55" customHeight="1">
      <c r="A53" s="989"/>
      <c s="989"/>
      <c s="989"/>
      <c s="989"/>
      <c s="989"/>
      <c s="1638"/>
      <c s="1638"/>
      <c s="353"/>
      <c r="N53" s="1368"/>
      <c r="P53" s="1368"/>
      <c s="1638"/>
      <c s="1638"/>
      <c s="1368"/>
      <c s="1368"/>
      <c s="1368"/>
      <c s="1368"/>
      <c s="1638"/>
      <c s="1368"/>
      <c s="1368"/>
      <c s="546"/>
      <c s="1368"/>
      <c s="1368"/>
      <c s="1368"/>
      <c s="1368"/>
      <c s="1368"/>
      <c s="1634"/>
      <c s="624"/>
      <c s="624"/>
      <c s="624"/>
      <c s="624"/>
      <c s="1643">
        <v>11</v>
      </c>
    </row>
    <row r="54" spans="1:37" s="1643" customFormat="1" ht="11.55" customHeight="1">
      <c r="A54" s="989"/>
      <c s="989"/>
      <c s="989"/>
      <c s="989"/>
      <c s="989"/>
      <c s="1638"/>
      <c s="1638"/>
      <c s="353"/>
      <c r="N54" s="1368"/>
      <c r="P54" s="1368"/>
      <c s="1638"/>
      <c s="1638"/>
      <c s="1368"/>
      <c s="1368"/>
      <c s="1368"/>
      <c s="1368"/>
      <c s="1638"/>
      <c s="1368"/>
      <c s="1368"/>
      <c s="546"/>
      <c s="1368"/>
      <c s="1368"/>
      <c s="1368"/>
      <c s="1368"/>
      <c s="1368"/>
      <c s="1634"/>
      <c s="624"/>
      <c s="624"/>
      <c s="624"/>
      <c s="624"/>
      <c s="1643">
        <v>11</v>
      </c>
    </row>
    <row r="55" spans="1:37" s="1643" customFormat="1" ht="11.55" customHeight="1">
      <c r="A55" s="989"/>
      <c s="989"/>
      <c s="989"/>
      <c s="989"/>
      <c s="989"/>
      <c s="1638"/>
      <c s="1638"/>
      <c s="353"/>
      <c r="N55" s="1368"/>
      <c r="P55" s="1368"/>
      <c s="1638"/>
      <c s="1638"/>
      <c s="1368"/>
      <c s="1368"/>
      <c s="1368"/>
      <c s="1368"/>
      <c s="1638"/>
      <c s="1368"/>
      <c s="1368"/>
      <c s="546"/>
      <c s="1368"/>
      <c s="1368"/>
      <c s="1368"/>
      <c s="1368"/>
      <c s="1368"/>
      <c s="1634"/>
      <c s="624"/>
      <c s="624"/>
      <c s="624"/>
      <c s="624"/>
      <c s="1643">
        <v>11</v>
      </c>
    </row>
    <row r="56" spans="1:37" s="1643" customFormat="1" ht="11.55" customHeight="1">
      <c r="A56" s="989"/>
      <c s="989"/>
      <c s="989"/>
      <c s="989"/>
      <c s="989"/>
      <c s="1638"/>
      <c s="1638"/>
      <c s="353"/>
      <c r="N56" s="1368"/>
      <c r="P56" s="1368"/>
      <c s="1638"/>
      <c s="1638"/>
      <c s="1368"/>
      <c s="1368"/>
      <c s="1368"/>
      <c s="1368"/>
      <c s="1638"/>
      <c s="1368"/>
      <c s="1368"/>
      <c s="546"/>
      <c s="1368"/>
      <c s="1368"/>
      <c s="1368"/>
      <c s="1368"/>
      <c s="1368"/>
      <c s="1634"/>
      <c s="624"/>
      <c s="624"/>
      <c s="624"/>
      <c s="624"/>
      <c s="1643">
        <v>11</v>
      </c>
    </row>
    <row r="57" spans="1:37" s="1643" customFormat="1" ht="11.55" customHeight="1">
      <c r="A57" s="989"/>
      <c s="989"/>
      <c s="989"/>
      <c s="989"/>
      <c s="989"/>
      <c s="1638"/>
      <c s="1638"/>
      <c s="353"/>
      <c r="N57" s="1368"/>
      <c r="P57" s="1368"/>
      <c s="1638"/>
      <c s="1638"/>
      <c s="1368"/>
      <c s="1368"/>
      <c s="1368"/>
      <c s="1368"/>
      <c s="1638"/>
      <c s="1368"/>
      <c s="1368"/>
      <c s="546"/>
      <c s="1368"/>
      <c s="1368"/>
      <c s="1368"/>
      <c s="1368"/>
      <c s="1368"/>
      <c s="1634"/>
      <c s="624"/>
      <c s="624"/>
      <c s="624"/>
      <c s="624"/>
      <c s="1643">
        <v>11</v>
      </c>
    </row>
    <row r="58" spans="1:37" s="1643" customFormat="1" ht="11.55" customHeight="1">
      <c r="A58" s="989"/>
      <c s="989"/>
      <c s="989"/>
      <c s="989"/>
      <c s="989"/>
      <c s="1638"/>
      <c s="1638"/>
      <c s="353"/>
      <c r="N58" s="1368"/>
      <c r="P58" s="1368"/>
      <c s="1638"/>
      <c s="1638"/>
      <c s="1368"/>
      <c s="1368"/>
      <c s="1368"/>
      <c s="1368"/>
      <c s="1638"/>
      <c s="1368"/>
      <c s="1368"/>
      <c s="546"/>
      <c s="1368"/>
      <c s="1368"/>
      <c s="1368"/>
      <c s="1368"/>
      <c s="1368"/>
      <c s="1634"/>
      <c s="624"/>
      <c s="624"/>
      <c s="624"/>
      <c s="624"/>
      <c s="1643">
        <v>11</v>
      </c>
    </row>
    <row r="59" spans="1:37" s="1643" customFormat="1" ht="11.55" customHeight="1">
      <c r="A59" s="989"/>
      <c s="989"/>
      <c s="989"/>
      <c s="989"/>
      <c s="989"/>
      <c s="1638"/>
      <c s="1638"/>
      <c s="353"/>
      <c r="N59" s="1368"/>
      <c r="P59" s="1368"/>
      <c s="1638"/>
      <c s="1638"/>
      <c s="1368"/>
      <c s="1368"/>
      <c s="1368"/>
      <c s="1368"/>
      <c s="1638"/>
      <c s="1368"/>
      <c s="1368"/>
      <c s="546"/>
      <c s="1368"/>
      <c s="1368"/>
      <c s="1368"/>
      <c s="1368"/>
      <c s="1368"/>
      <c s="1634"/>
      <c s="624"/>
      <c s="624"/>
      <c s="624"/>
      <c s="624"/>
      <c s="1643">
        <v>11</v>
      </c>
    </row>
    <row r="60" spans="1:37" s="1643" customFormat="1" ht="11.55" customHeight="1">
      <c r="A60" s="989"/>
      <c s="989"/>
      <c s="989"/>
      <c s="989"/>
      <c s="989"/>
      <c s="1638"/>
      <c s="1638"/>
      <c s="353"/>
      <c r="N60" s="1368"/>
      <c r="P60" s="1368"/>
      <c s="1638"/>
      <c s="1638"/>
      <c s="1368"/>
      <c s="1368"/>
      <c s="1368"/>
      <c s="1368"/>
      <c s="1638"/>
      <c s="1368"/>
      <c s="1368"/>
      <c s="546"/>
      <c s="1368"/>
      <c s="1368"/>
      <c s="1368"/>
      <c s="1368"/>
      <c s="1368"/>
      <c s="1634"/>
      <c s="624"/>
      <c s="624"/>
      <c s="624"/>
      <c s="624"/>
      <c s="1643">
        <v>11</v>
      </c>
    </row>
    <row r="61" spans="1:37" s="1643" customFormat="1" ht="11.55" customHeight="1">
      <c r="A61" s="989"/>
      <c s="989"/>
      <c s="989"/>
      <c s="989"/>
      <c s="989"/>
      <c s="1638"/>
      <c s="1638"/>
      <c s="353"/>
      <c r="N61" s="1368"/>
      <c r="P61" s="1368"/>
      <c s="1638"/>
      <c s="1638"/>
      <c s="1368"/>
      <c s="1368"/>
      <c s="1368"/>
      <c s="1368"/>
      <c s="1638"/>
      <c s="1368"/>
      <c s="1368"/>
      <c s="546"/>
      <c s="1368"/>
      <c s="1368"/>
      <c s="1368"/>
      <c s="1368"/>
      <c s="1368"/>
      <c s="1634"/>
      <c s="624"/>
      <c s="624"/>
      <c s="624"/>
      <c s="624"/>
      <c s="1643">
        <v>11</v>
      </c>
    </row>
    <row r="62" spans="1:37" s="1643" customFormat="1" ht="11.55" customHeight="1">
      <c r="A62" s="989"/>
      <c s="989"/>
      <c s="989"/>
      <c s="989"/>
      <c s="989"/>
      <c s="1638"/>
      <c s="1638"/>
      <c s="353"/>
      <c r="N62" s="1368"/>
      <c r="P62" s="1368"/>
      <c s="1638"/>
      <c s="1638"/>
      <c s="1368"/>
      <c s="1368"/>
      <c s="1368"/>
      <c s="1368"/>
      <c s="1638"/>
      <c s="1368"/>
      <c s="1368"/>
      <c s="546"/>
      <c s="1368"/>
      <c s="1368"/>
      <c s="1368"/>
      <c s="1368"/>
      <c s="1368"/>
      <c s="1634"/>
      <c s="624"/>
      <c s="624"/>
      <c s="624"/>
      <c s="624"/>
      <c s="1643">
        <v>11</v>
      </c>
    </row>
    <row r="63" spans="1:37" s="1643" customFormat="1" ht="11.55" customHeight="1">
      <c r="A63" s="989"/>
      <c s="989"/>
      <c s="989"/>
      <c s="989"/>
      <c s="989"/>
      <c s="1638"/>
      <c s="1638"/>
      <c s="353"/>
      <c r="N63" s="1368"/>
      <c r="P63" s="1368"/>
      <c s="1638"/>
      <c s="1638"/>
      <c s="1368"/>
      <c s="1368"/>
      <c s="1368"/>
      <c s="1368"/>
      <c s="1638"/>
      <c s="1368"/>
      <c s="1368"/>
      <c s="546"/>
      <c s="1368"/>
      <c s="1368"/>
      <c s="1368"/>
      <c s="1368"/>
      <c s="1368"/>
      <c s="1634"/>
      <c s="624"/>
      <c s="624"/>
      <c s="624"/>
      <c s="624"/>
      <c s="1643">
        <v>11</v>
      </c>
    </row>
    <row r="64" spans="1:37" s="1643" customFormat="1" ht="11.55" customHeight="1">
      <c r="A64" s="989"/>
      <c s="989"/>
      <c s="989"/>
      <c s="989"/>
      <c s="989"/>
      <c s="1638"/>
      <c s="1638"/>
      <c s="353"/>
      <c r="N64" s="1368"/>
      <c r="P64" s="1368"/>
      <c s="1638"/>
      <c s="1638"/>
      <c s="1368"/>
      <c s="1368"/>
      <c s="1368"/>
      <c s="1368"/>
      <c s="1638"/>
      <c s="1368"/>
      <c s="1368"/>
      <c s="546"/>
      <c s="1368"/>
      <c s="1368"/>
      <c s="1368"/>
      <c s="1368"/>
      <c s="1368"/>
      <c s="1634"/>
      <c s="624"/>
      <c s="624"/>
      <c s="624"/>
      <c s="624"/>
      <c s="1643">
        <v>11</v>
      </c>
    </row>
    <row r="65" spans="1:37" s="1643" customFormat="1" ht="11.55" customHeight="1">
      <c r="A65" s="989"/>
      <c s="989"/>
      <c s="989"/>
      <c s="989"/>
      <c s="989"/>
      <c s="1638"/>
      <c s="1638"/>
      <c s="353"/>
      <c r="N65" s="1368"/>
      <c r="P65" s="1368"/>
      <c s="1638"/>
      <c s="1638"/>
      <c s="1368"/>
      <c s="1368"/>
      <c s="1368"/>
      <c s="1368"/>
      <c s="1638"/>
      <c s="1368"/>
      <c s="1368"/>
      <c s="546"/>
      <c s="1368"/>
      <c s="1368"/>
      <c s="1368"/>
      <c s="1368"/>
      <c s="1368"/>
      <c s="1634"/>
      <c s="624"/>
      <c s="624"/>
      <c s="624"/>
      <c s="624"/>
      <c s="1643">
        <v>11</v>
      </c>
    </row>
    <row r="66" spans="1:37" s="1643" customFormat="1" ht="11.55" customHeight="1">
      <c r="A66" s="989"/>
      <c s="989"/>
      <c s="989"/>
      <c s="989"/>
      <c s="989"/>
      <c s="1638"/>
      <c s="1638"/>
      <c s="353"/>
      <c r="N66" s="1368"/>
      <c r="P66" s="1368"/>
      <c s="1638"/>
      <c s="1638"/>
      <c s="1368"/>
      <c s="1368"/>
      <c s="1368"/>
      <c s="1368"/>
      <c s="1638"/>
      <c s="1368"/>
      <c s="1368"/>
      <c s="546"/>
      <c s="1368"/>
      <c s="1368"/>
      <c s="1368"/>
      <c s="1368"/>
      <c s="1368"/>
      <c s="1634"/>
      <c s="624"/>
      <c s="624"/>
      <c s="624"/>
      <c s="624"/>
      <c s="1643">
        <v>11</v>
      </c>
    </row>
    <row r="67" spans="1:37" s="1643" customFormat="1" ht="11.55" customHeight="1">
      <c r="A67" s="989"/>
      <c s="989"/>
      <c s="989"/>
      <c s="989"/>
      <c s="989"/>
      <c s="1638"/>
      <c s="1638"/>
      <c s="353"/>
      <c r="N67" s="1368"/>
      <c r="P67" s="1368"/>
      <c s="1638"/>
      <c s="1638"/>
      <c s="1368"/>
      <c s="1368"/>
      <c s="1368"/>
      <c s="1368"/>
      <c s="1638"/>
      <c s="1368"/>
      <c s="1368"/>
      <c s="546"/>
      <c s="1368"/>
      <c s="1368"/>
      <c s="1368"/>
      <c s="1368"/>
      <c s="1368"/>
      <c s="1634"/>
      <c s="624"/>
      <c s="624"/>
      <c s="624"/>
      <c s="624"/>
      <c s="1643">
        <v>11</v>
      </c>
    </row>
    <row r="68" spans="1:37" s="1643" customFormat="1" ht="11.55" customHeight="1">
      <c r="A68" s="989"/>
      <c s="989"/>
      <c s="989"/>
      <c s="989"/>
      <c s="989"/>
      <c s="1638"/>
      <c s="1638"/>
      <c s="353"/>
      <c r="N68" s="1368"/>
      <c r="P68" s="1368"/>
      <c s="1638"/>
      <c s="1638"/>
      <c s="1368"/>
      <c s="1368"/>
      <c s="1368"/>
      <c s="1368"/>
      <c s="1638"/>
      <c s="1368"/>
      <c s="1368"/>
      <c s="546"/>
      <c s="1368"/>
      <c s="1368"/>
      <c s="1368"/>
      <c s="1368"/>
      <c s="1368"/>
      <c s="1634"/>
      <c s="624"/>
      <c s="624"/>
      <c s="624"/>
      <c s="624"/>
      <c s="1643">
        <v>11</v>
      </c>
    </row>
    <row r="69" spans="1:37" s="1643" customFormat="1" ht="11.55" customHeight="1">
      <c r="A69" s="989"/>
      <c s="989"/>
      <c s="989"/>
      <c s="989"/>
      <c s="989"/>
      <c s="1638"/>
      <c s="1638"/>
      <c s="353"/>
      <c r="N69" s="1368"/>
      <c r="P69" s="1368"/>
      <c s="1638"/>
      <c s="1638"/>
      <c s="1368"/>
      <c s="1368"/>
      <c s="1368"/>
      <c s="1368"/>
      <c s="1638"/>
      <c s="1368"/>
      <c s="1368"/>
      <c s="546"/>
      <c s="1368"/>
      <c s="1368"/>
      <c s="1368"/>
      <c s="1368"/>
      <c s="1368"/>
      <c s="1634"/>
      <c s="624"/>
      <c s="624"/>
      <c s="624"/>
      <c s="624"/>
      <c s="1643">
        <v>11</v>
      </c>
    </row>
    <row r="70" spans="1:37" s="1643" customFormat="1" ht="11.55" customHeight="1">
      <c r="A70" s="989"/>
      <c s="989"/>
      <c s="989"/>
      <c s="989"/>
      <c s="989"/>
      <c s="1638"/>
      <c s="1638"/>
      <c s="353"/>
      <c r="N70" s="1368"/>
      <c r="P70" s="1368"/>
      <c s="1638"/>
      <c s="1638"/>
      <c s="1368"/>
      <c s="1368"/>
      <c s="1368"/>
      <c s="1368"/>
      <c s="1638"/>
      <c s="1368"/>
      <c s="1368"/>
      <c s="546"/>
      <c s="1368"/>
      <c s="1368"/>
      <c s="1368"/>
      <c s="1368"/>
      <c s="1368"/>
      <c s="1634"/>
      <c s="624"/>
      <c s="624"/>
      <c s="624"/>
      <c s="624"/>
      <c s="1643">
        <v>11</v>
      </c>
    </row>
    <row r="71" spans="1:37" s="1643" customFormat="1" ht="11.55" customHeight="1">
      <c r="A71" s="989"/>
      <c s="989"/>
      <c s="989"/>
      <c s="989"/>
      <c s="989"/>
      <c s="1638"/>
      <c s="1638"/>
      <c s="353"/>
      <c r="N71" s="1368"/>
      <c r="P71" s="1368"/>
      <c s="1638"/>
      <c s="1638"/>
      <c s="1368"/>
      <c s="1368"/>
      <c s="1368"/>
      <c s="1368"/>
      <c s="1638"/>
      <c s="1368"/>
      <c s="1368"/>
      <c s="546"/>
      <c s="1368"/>
      <c s="1368"/>
      <c s="1368"/>
      <c s="1368"/>
      <c s="1368"/>
      <c s="1634"/>
      <c s="624"/>
      <c s="624"/>
      <c s="624"/>
      <c s="624"/>
      <c s="1643">
        <v>11</v>
      </c>
    </row>
    <row r="72" spans="1:37" s="1643" customFormat="1" ht="11.55" customHeight="1">
      <c r="A72" s="989"/>
      <c s="989"/>
      <c s="989"/>
      <c s="989"/>
      <c s="989"/>
      <c s="1638"/>
      <c s="1638"/>
      <c s="353"/>
      <c r="N72" s="1368"/>
      <c r="P72" s="1368"/>
      <c s="1638"/>
      <c s="1638"/>
      <c s="1368"/>
      <c s="1368"/>
      <c s="1368"/>
      <c s="1368"/>
      <c s="1638"/>
      <c s="1368"/>
      <c s="1368"/>
      <c s="546"/>
      <c s="1368"/>
      <c s="1368"/>
      <c s="1368"/>
      <c s="1368"/>
      <c s="1368"/>
      <c s="1634"/>
      <c s="624"/>
      <c s="624"/>
      <c s="624"/>
      <c s="624"/>
      <c s="1643">
        <v>11</v>
      </c>
    </row>
    <row r="73" spans="1:37" s="1643" customFormat="1" ht="11.55" customHeight="1">
      <c r="A73" s="989"/>
      <c s="989"/>
      <c s="989"/>
      <c s="989"/>
      <c s="989"/>
      <c s="1638"/>
      <c s="1638"/>
      <c s="353"/>
      <c r="N73" s="1368"/>
      <c r="P73" s="1368"/>
      <c s="1638"/>
      <c s="1638"/>
      <c s="1368"/>
      <c s="1368"/>
      <c s="1368"/>
      <c s="1368"/>
      <c s="1638"/>
      <c s="1368"/>
      <c s="1368"/>
      <c s="546"/>
      <c s="1368"/>
      <c s="1368"/>
      <c s="1368"/>
      <c s="1368"/>
      <c s="1368"/>
      <c s="1634"/>
      <c s="624"/>
      <c s="624"/>
      <c s="624"/>
      <c s="624"/>
      <c s="1643">
        <v>11</v>
      </c>
    </row>
    <row r="74" spans="1:37" s="1643" customFormat="1" ht="11.55" customHeight="1">
      <c r="A74" s="989"/>
      <c s="989"/>
      <c s="989"/>
      <c s="989"/>
      <c s="989"/>
      <c s="1638"/>
      <c s="1638"/>
      <c s="353"/>
      <c r="N74" s="1368"/>
      <c r="P74" s="1368"/>
      <c s="1638"/>
      <c s="1638"/>
      <c s="1368"/>
      <c s="1368"/>
      <c s="1368"/>
      <c s="1368"/>
      <c s="1638"/>
      <c s="1368"/>
      <c s="1368"/>
      <c s="546"/>
      <c s="1368"/>
      <c s="1368"/>
      <c s="1368"/>
      <c s="1368"/>
      <c s="1368"/>
      <c s="1634"/>
      <c s="624"/>
      <c s="624"/>
      <c s="624"/>
      <c s="624"/>
      <c s="1643">
        <v>11</v>
      </c>
    </row>
    <row r="75" spans="1:37" s="1643" customFormat="1" ht="11.55" customHeight="1">
      <c r="A75" s="989"/>
      <c s="989"/>
      <c s="989"/>
      <c s="989"/>
      <c s="989"/>
      <c s="1638"/>
      <c s="1638"/>
      <c s="353"/>
      <c r="N75" s="1368"/>
      <c r="P75" s="1368"/>
      <c s="1638"/>
      <c s="1638"/>
      <c s="1368"/>
      <c s="1368"/>
      <c s="1368"/>
      <c s="1368"/>
      <c s="1638"/>
      <c s="1368"/>
      <c s="1368"/>
      <c s="546"/>
      <c s="1368"/>
      <c s="1368"/>
      <c s="1368"/>
      <c s="1368"/>
      <c s="1368"/>
      <c s="1634"/>
      <c s="624"/>
      <c s="624"/>
      <c s="624"/>
      <c s="624"/>
      <c s="1643">
        <v>11</v>
      </c>
    </row>
    <row r="76" spans="1:37" s="1643" customFormat="1" ht="11.55" customHeight="1">
      <c r="A76" s="989"/>
      <c s="989"/>
      <c s="989"/>
      <c s="989"/>
      <c s="989"/>
      <c s="1638"/>
      <c s="1638"/>
      <c s="353"/>
      <c r="N76" s="1368"/>
      <c r="P76" s="1368"/>
      <c s="1638"/>
      <c s="1638"/>
      <c s="1368"/>
      <c s="1368"/>
      <c s="1368"/>
      <c s="1368"/>
      <c s="1638"/>
      <c s="1368"/>
      <c s="1368"/>
      <c s="546"/>
      <c s="1368"/>
      <c s="1368"/>
      <c s="1368"/>
      <c s="1368"/>
      <c s="1368"/>
      <c s="1634"/>
      <c s="624"/>
      <c s="624"/>
      <c s="624"/>
      <c s="624"/>
      <c s="1643">
        <v>11</v>
      </c>
    </row>
    <row r="77" spans="1:37" s="1643" customFormat="1" ht="11.55" customHeight="1">
      <c r="A77" s="989"/>
      <c s="989"/>
      <c s="989"/>
      <c s="989"/>
      <c s="989"/>
      <c s="1638"/>
      <c s="1638"/>
      <c s="353"/>
      <c r="N77" s="1368"/>
      <c r="P77" s="1368"/>
      <c s="1638"/>
      <c s="1638"/>
      <c s="1368"/>
      <c s="1368"/>
      <c s="1368"/>
      <c s="1368"/>
      <c s="1638"/>
      <c s="1368"/>
      <c s="1368"/>
      <c s="546"/>
      <c s="1368"/>
      <c s="1368"/>
      <c s="1368"/>
      <c s="1368"/>
      <c s="1368"/>
      <c s="1634"/>
      <c s="624"/>
      <c s="624"/>
      <c s="624"/>
      <c s="624"/>
      <c s="1643">
        <v>11</v>
      </c>
    </row>
    <row r="78" spans="1:37" s="1643" customFormat="1" ht="11.55" customHeight="1">
      <c r="A78" s="989"/>
      <c s="989"/>
      <c s="989"/>
      <c s="989"/>
      <c s="989"/>
      <c s="1638"/>
      <c s="1638"/>
      <c s="353"/>
      <c r="N78" s="1368"/>
      <c r="P78" s="1368"/>
      <c s="1638"/>
      <c s="1638"/>
      <c s="1368"/>
      <c s="1368"/>
      <c s="1368"/>
      <c s="1368"/>
      <c s="1638"/>
      <c s="1368"/>
      <c s="1368"/>
      <c s="546"/>
      <c s="1368"/>
      <c s="1368"/>
      <c s="1368"/>
      <c s="1368"/>
      <c s="1368"/>
      <c s="1634"/>
      <c s="624"/>
      <c s="624"/>
      <c s="624"/>
      <c s="624"/>
      <c s="1643">
        <v>11</v>
      </c>
    </row>
    <row r="79" spans="1:37" s="1643" customFormat="1" ht="11.55" customHeight="1">
      <c r="A79" s="989"/>
      <c s="989"/>
      <c s="989"/>
      <c s="989"/>
      <c s="989"/>
      <c s="1638"/>
      <c s="1638"/>
      <c s="353"/>
      <c r="N79" s="1368"/>
      <c r="P79" s="1368"/>
      <c s="1638"/>
      <c s="1638"/>
      <c s="1368"/>
      <c s="1368"/>
      <c s="1368"/>
      <c s="1368"/>
      <c s="1638"/>
      <c s="1368"/>
      <c s="1368"/>
      <c s="546"/>
      <c s="1368"/>
      <c s="1368"/>
      <c s="1368"/>
      <c s="1368"/>
      <c s="1368"/>
      <c s="1634"/>
      <c s="624"/>
      <c s="624"/>
      <c s="624"/>
      <c s="624"/>
      <c s="1643">
        <v>11</v>
      </c>
    </row>
    <row r="80" spans="1:37" s="1643" customFormat="1" ht="11.55" customHeight="1">
      <c r="A80" s="989"/>
      <c s="989"/>
      <c s="989"/>
      <c s="989"/>
      <c s="989"/>
      <c s="1638"/>
      <c s="1638"/>
      <c s="353"/>
      <c r="N80" s="1368"/>
      <c r="P80" s="1368"/>
      <c s="1638"/>
      <c s="1638"/>
      <c s="1368"/>
      <c s="1368"/>
      <c s="1368"/>
      <c s="1368"/>
      <c s="1638"/>
      <c s="1368"/>
      <c s="1368"/>
      <c s="546"/>
      <c s="1368"/>
      <c s="1368"/>
      <c s="1368"/>
      <c s="1368"/>
      <c s="1368"/>
      <c s="1634"/>
      <c s="624"/>
      <c s="624"/>
      <c s="624"/>
      <c s="624"/>
      <c s="1643">
        <v>11</v>
      </c>
    </row>
    <row r="81" spans="1:37" s="1643" customFormat="1" ht="11.55" customHeight="1">
      <c r="A81" s="989"/>
      <c s="989"/>
      <c s="989"/>
      <c s="989"/>
      <c s="989"/>
      <c s="1638"/>
      <c s="1638"/>
      <c s="353"/>
      <c r="N81" s="1368"/>
      <c r="P81" s="1368"/>
      <c s="1638"/>
      <c s="1638"/>
      <c s="1368"/>
      <c s="1368"/>
      <c s="1368"/>
      <c s="1368"/>
      <c s="1638"/>
      <c s="1368"/>
      <c s="1368"/>
      <c s="546"/>
      <c s="1368"/>
      <c s="1368"/>
      <c s="1368"/>
      <c s="1368"/>
      <c s="1368"/>
      <c s="1634"/>
      <c s="624"/>
      <c s="624"/>
      <c s="624"/>
      <c s="624"/>
      <c s="1643">
        <v>11</v>
      </c>
    </row>
    <row r="82" spans="1:37" s="1643" customFormat="1" ht="11.55" customHeight="1">
      <c r="A82" s="989"/>
      <c s="989"/>
      <c s="989"/>
      <c s="989"/>
      <c s="989"/>
      <c s="1638"/>
      <c s="1638"/>
      <c s="353"/>
      <c r="N82" s="1368"/>
      <c r="P82" s="1368"/>
      <c s="1638"/>
      <c s="1638"/>
      <c s="1368"/>
      <c s="1368"/>
      <c s="1368"/>
      <c s="1368"/>
      <c s="1638"/>
      <c s="1368"/>
      <c s="1368"/>
      <c s="546"/>
      <c s="1368"/>
      <c s="1368"/>
      <c s="1368"/>
      <c s="1368"/>
      <c s="1368"/>
      <c s="1634"/>
      <c s="624"/>
      <c s="624"/>
      <c s="624"/>
      <c s="624"/>
      <c s="1643">
        <v>11</v>
      </c>
    </row>
    <row r="83" spans="1:37" s="1643" customFormat="1" ht="11.55" customHeight="1">
      <c r="A83" s="989"/>
      <c s="989"/>
      <c s="989"/>
      <c s="989"/>
      <c s="989"/>
      <c s="1638"/>
      <c s="1638"/>
      <c s="353"/>
      <c r="N83" s="1368"/>
      <c r="P83" s="1368"/>
      <c s="1638"/>
      <c s="1638"/>
      <c s="1368"/>
      <c s="1368"/>
      <c s="1368"/>
      <c s="1368"/>
      <c s="1638"/>
      <c s="1368"/>
      <c s="1368"/>
      <c s="546"/>
      <c s="1368"/>
      <c s="1368"/>
      <c s="1368"/>
      <c s="1368"/>
      <c s="1368"/>
      <c s="1634"/>
      <c s="624"/>
      <c s="624"/>
      <c s="624"/>
      <c s="624"/>
      <c s="1643">
        <v>11</v>
      </c>
    </row>
    <row r="84" spans="1:37" s="1643" customFormat="1" ht="11.55" customHeight="1">
      <c r="A84" s="989"/>
      <c s="989"/>
      <c s="989"/>
      <c s="989"/>
      <c s="989"/>
      <c s="1638"/>
      <c s="1638"/>
      <c s="353"/>
      <c r="N84" s="1368"/>
      <c r="P84" s="1368"/>
      <c s="1638"/>
      <c s="1638"/>
      <c s="1368"/>
      <c s="1368"/>
      <c s="1368"/>
      <c s="1368"/>
      <c s="1638"/>
      <c s="1368"/>
      <c s="1368"/>
      <c s="546"/>
      <c s="1368"/>
      <c s="1368"/>
      <c s="1368"/>
      <c s="1368"/>
      <c s="1368"/>
      <c s="1634"/>
      <c s="624"/>
      <c s="624"/>
      <c s="624"/>
      <c s="624"/>
      <c s="1643">
        <v>11</v>
      </c>
    </row>
    <row r="85" spans="1:37" s="1643" customFormat="1" ht="11.55" customHeight="1">
      <c r="A85" s="989"/>
      <c s="989"/>
      <c s="989"/>
      <c s="989"/>
      <c s="989"/>
      <c s="1638"/>
      <c s="1638"/>
      <c s="353"/>
      <c r="N85" s="1368"/>
      <c r="P85" s="1368"/>
      <c s="1638"/>
      <c s="1638"/>
      <c s="1368"/>
      <c s="1368"/>
      <c s="1368"/>
      <c s="1368"/>
      <c s="1638"/>
      <c s="1368"/>
      <c s="1368"/>
      <c s="546"/>
      <c s="1368"/>
      <c s="1368"/>
      <c s="1368"/>
      <c s="1368"/>
      <c s="1368"/>
      <c s="1634"/>
      <c s="624"/>
      <c s="624"/>
      <c s="624"/>
      <c s="624"/>
      <c s="1643">
        <v>11</v>
      </c>
    </row>
    <row r="86" spans="1:37" s="1643" customFormat="1" ht="11.55" customHeight="1">
      <c r="A86" s="989"/>
      <c s="989"/>
      <c s="989"/>
      <c s="989"/>
      <c s="989"/>
      <c s="1638"/>
      <c s="1638"/>
      <c s="353"/>
      <c r="N86" s="1368"/>
      <c r="P86" s="1368"/>
      <c s="1638"/>
      <c s="1638"/>
      <c s="1368"/>
      <c s="1368"/>
      <c s="1368"/>
      <c s="1368"/>
      <c s="1638"/>
      <c s="1368"/>
      <c s="1368"/>
      <c s="546"/>
      <c s="1368"/>
      <c s="1368"/>
      <c s="1368"/>
      <c s="1368"/>
      <c s="1368"/>
      <c s="1634"/>
      <c s="624"/>
      <c s="624"/>
      <c s="624"/>
      <c s="624"/>
      <c s="1643">
        <v>11</v>
      </c>
    </row>
    <row r="87" spans="1:37" s="1643" customFormat="1" ht="11.55" customHeight="1">
      <c r="A87" s="989"/>
      <c s="989"/>
      <c s="989"/>
      <c s="989"/>
      <c s="989"/>
      <c s="1638"/>
      <c s="1638"/>
      <c s="353"/>
      <c r="N87" s="1368"/>
      <c r="P87" s="1368"/>
      <c s="1638"/>
      <c s="1638"/>
      <c s="1368"/>
      <c s="1368"/>
      <c s="1368"/>
      <c s="1368"/>
      <c s="1638"/>
      <c s="1368"/>
      <c s="1368"/>
      <c s="546"/>
      <c s="1368"/>
      <c s="1368"/>
      <c s="1368"/>
      <c s="1368"/>
      <c s="1368"/>
      <c s="1634"/>
      <c s="624"/>
      <c s="624"/>
      <c s="624"/>
      <c s="624"/>
      <c s="1643">
        <v>11</v>
      </c>
    </row>
    <row r="88" spans="1:37" s="1643" customFormat="1" ht="11.55" customHeight="1">
      <c r="A88" s="989"/>
      <c s="989"/>
      <c s="989"/>
      <c s="989"/>
      <c s="989"/>
      <c s="1638"/>
      <c s="1638"/>
      <c s="353"/>
      <c r="N88" s="1368"/>
      <c r="P88" s="1368"/>
      <c s="1638"/>
      <c s="1638"/>
      <c s="1368"/>
      <c s="1368"/>
      <c s="1368"/>
      <c s="1368"/>
      <c s="1638"/>
      <c s="1368"/>
      <c s="1368"/>
      <c s="546"/>
      <c s="1368"/>
      <c s="1368"/>
      <c s="1368"/>
      <c s="1368"/>
      <c s="1368"/>
      <c s="1634"/>
      <c s="624"/>
      <c s="624"/>
      <c s="624"/>
      <c s="624"/>
      <c s="1643">
        <v>11</v>
      </c>
    </row>
    <row r="89" spans="1:37" s="1643" customFormat="1" ht="11.55" customHeight="1">
      <c r="A89" s="989"/>
      <c s="989"/>
      <c s="989"/>
      <c s="989"/>
      <c s="989"/>
      <c s="1638"/>
      <c s="1638"/>
      <c s="353"/>
      <c r="N89" s="1368"/>
      <c r="P89" s="1368"/>
      <c s="1638"/>
      <c s="1638"/>
      <c s="1368"/>
      <c s="1368"/>
      <c s="1368"/>
      <c s="1368"/>
      <c s="1638"/>
      <c s="1368"/>
      <c s="1368"/>
      <c s="546"/>
      <c s="1368"/>
      <c s="1368"/>
      <c s="1368"/>
      <c s="1368"/>
      <c s="1368"/>
      <c s="1634"/>
      <c s="624"/>
      <c s="624"/>
      <c s="624"/>
      <c s="624"/>
      <c s="1643">
        <v>11</v>
      </c>
    </row>
    <row r="90" spans="1:37" s="1643" customFormat="1" ht="11.55" customHeight="1">
      <c r="A90" s="989"/>
      <c s="989"/>
      <c s="989"/>
      <c s="989"/>
      <c s="989"/>
      <c s="1638"/>
      <c s="1638"/>
      <c s="353"/>
      <c r="N90" s="1368"/>
      <c r="P90" s="1368"/>
      <c s="1638"/>
      <c s="1638"/>
      <c s="1368"/>
      <c s="1368"/>
      <c s="1368"/>
      <c s="1368"/>
      <c s="1638"/>
      <c s="1368"/>
      <c s="1368"/>
      <c s="546"/>
      <c s="1368"/>
      <c s="1368"/>
      <c s="1368"/>
      <c s="1368"/>
      <c s="1368"/>
      <c s="1634"/>
      <c s="624"/>
      <c s="624"/>
      <c s="624"/>
      <c s="624"/>
      <c s="1643">
        <v>11</v>
      </c>
    </row>
    <row r="91" spans="1:37" s="1643" customFormat="1" ht="11.55" customHeight="1">
      <c r="A91" s="989"/>
      <c s="989"/>
      <c s="989"/>
      <c s="989"/>
      <c s="989"/>
      <c s="1638"/>
      <c s="1638"/>
      <c s="353"/>
      <c r="N91" s="1368"/>
      <c r="P91" s="1368"/>
      <c s="1638"/>
      <c s="1638"/>
      <c s="1368"/>
      <c s="1368"/>
      <c s="1368"/>
      <c s="1368"/>
      <c s="1638"/>
      <c s="1368"/>
      <c s="1368"/>
      <c s="546"/>
      <c s="1368"/>
      <c s="1368"/>
      <c s="1368"/>
      <c s="1368"/>
      <c s="1368"/>
      <c s="1634"/>
      <c s="624"/>
      <c s="624"/>
      <c s="624"/>
      <c s="624"/>
      <c s="1643">
        <v>11</v>
      </c>
    </row>
    <row r="92" spans="1:37" s="1643" customFormat="1" ht="11.55" customHeight="1">
      <c r="A92" s="989"/>
      <c s="989"/>
      <c s="989"/>
      <c s="989"/>
      <c s="989"/>
      <c s="1638"/>
      <c s="1638"/>
      <c s="353"/>
      <c r="N92" s="1368"/>
      <c r="P92" s="1368"/>
      <c s="1638"/>
      <c s="1638"/>
      <c s="1368"/>
      <c s="1368"/>
      <c s="1368"/>
      <c s="1368"/>
      <c s="1638"/>
      <c s="1368"/>
      <c s="1368"/>
      <c s="546"/>
      <c s="1368"/>
      <c s="1368"/>
      <c s="1368"/>
      <c s="1368"/>
      <c s="1368"/>
      <c s="1634"/>
      <c s="624"/>
      <c s="624"/>
      <c s="624"/>
      <c s="624"/>
      <c s="1643">
        <v>11</v>
      </c>
    </row>
    <row r="93" spans="1:37" s="1643" customFormat="1" ht="11.55" customHeight="1">
      <c r="A93" s="989"/>
      <c s="989"/>
      <c s="989"/>
      <c s="989"/>
      <c s="989"/>
      <c s="1638"/>
      <c s="1638"/>
      <c s="353"/>
      <c r="N93" s="1368"/>
      <c r="P93" s="1368"/>
      <c s="1638"/>
      <c s="1638"/>
      <c s="1368"/>
      <c s="1368"/>
      <c s="1368"/>
      <c s="1368"/>
      <c s="1638"/>
      <c s="1368"/>
      <c s="1368"/>
      <c s="546"/>
      <c s="1368"/>
      <c s="1368"/>
      <c s="1368"/>
      <c s="1368"/>
      <c s="1368"/>
      <c s="1634"/>
      <c s="624"/>
      <c s="624"/>
      <c s="624"/>
      <c s="624"/>
      <c s="1643">
        <v>11</v>
      </c>
    </row>
    <row r="94" spans="1:37" s="1643" customFormat="1" ht="11.55" customHeight="1">
      <c r="A94" s="989"/>
      <c s="989"/>
      <c s="989"/>
      <c s="989"/>
      <c s="989"/>
      <c s="1638"/>
      <c s="1638"/>
      <c s="353"/>
      <c r="N94" s="1368"/>
      <c r="P94" s="1368"/>
      <c s="1638"/>
      <c s="1638"/>
      <c s="1368"/>
      <c s="1368"/>
      <c s="1368"/>
      <c s="1368"/>
      <c s="1638"/>
      <c s="1368"/>
      <c s="1368"/>
      <c s="546"/>
      <c s="1368"/>
      <c s="1368"/>
      <c s="1368"/>
      <c s="1368"/>
      <c s="1368"/>
      <c s="1634"/>
      <c s="624"/>
      <c s="624"/>
      <c s="624"/>
      <c s="624"/>
      <c s="1643">
        <v>11</v>
      </c>
    </row>
    <row r="95" spans="1:37" s="1643" customFormat="1" ht="11.55" customHeight="1">
      <c r="A95" s="989"/>
      <c s="989"/>
      <c s="989"/>
      <c s="989"/>
      <c s="989"/>
      <c s="1638"/>
      <c s="1638"/>
      <c s="353"/>
      <c r="N95" s="1368"/>
      <c r="P95" s="1368"/>
      <c s="1638"/>
      <c s="1638"/>
      <c s="1368"/>
      <c s="1368"/>
      <c s="1368"/>
      <c s="1368"/>
      <c s="1638"/>
      <c s="1368"/>
      <c s="1368"/>
      <c s="546"/>
      <c s="1368"/>
      <c s="1368"/>
      <c s="1368"/>
      <c s="1368"/>
      <c s="1368"/>
      <c s="1634"/>
      <c s="624"/>
      <c s="624"/>
      <c s="624"/>
      <c s="624"/>
      <c s="1643">
        <v>11</v>
      </c>
    </row>
    <row r="96" spans="1:37" s="1643" customFormat="1" ht="11.55" customHeight="1">
      <c r="A96" s="989"/>
      <c s="989"/>
      <c s="989"/>
      <c s="989"/>
      <c s="989"/>
      <c s="1638"/>
      <c s="1638"/>
      <c s="353"/>
      <c r="N96" s="1368"/>
      <c r="P96" s="1368"/>
      <c s="1638"/>
      <c s="1638"/>
      <c s="1368"/>
      <c s="1368"/>
      <c s="1368"/>
      <c s="1368"/>
      <c s="1638"/>
      <c s="1368"/>
      <c s="1368"/>
      <c s="546"/>
      <c s="1368"/>
      <c s="1368"/>
      <c s="1368"/>
      <c s="1368"/>
      <c s="1368"/>
      <c s="1634"/>
      <c s="624"/>
      <c s="624"/>
      <c s="624"/>
      <c s="624"/>
      <c s="1643">
        <v>11</v>
      </c>
    </row>
    <row r="97" spans="1:37" s="1643" customFormat="1" ht="11.55" customHeight="1">
      <c r="A97" s="989"/>
      <c s="989"/>
      <c s="989"/>
      <c s="989"/>
      <c s="989"/>
      <c s="1638"/>
      <c s="1638"/>
      <c s="353"/>
      <c r="N97" s="1368"/>
      <c r="P97" s="1368"/>
      <c s="1638"/>
      <c s="1638"/>
      <c s="1368"/>
      <c s="1368"/>
      <c s="1368"/>
      <c s="1368"/>
      <c s="1638"/>
      <c s="1368"/>
      <c s="1368"/>
      <c s="546"/>
      <c s="1368"/>
      <c s="1368"/>
      <c s="1368"/>
      <c s="1368"/>
      <c s="1368"/>
      <c s="1634"/>
      <c s="624"/>
      <c s="624"/>
      <c s="624"/>
      <c s="624"/>
      <c s="1643">
        <v>11</v>
      </c>
    </row>
    <row r="98" spans="1:37" s="1643" customFormat="1" ht="11.55" customHeight="1">
      <c r="A98" s="989"/>
      <c s="989"/>
      <c s="989"/>
      <c s="989"/>
      <c s="989"/>
      <c s="1638"/>
      <c s="1638"/>
      <c s="353"/>
      <c r="N98" s="1368"/>
      <c r="P98" s="1368"/>
      <c s="1638"/>
      <c s="1638"/>
      <c s="1368"/>
      <c s="1368"/>
      <c s="1368"/>
      <c s="1368"/>
      <c s="1638"/>
      <c s="1368"/>
      <c s="1368"/>
      <c s="546"/>
      <c s="1368"/>
      <c s="1368"/>
      <c s="1368"/>
      <c s="1368"/>
      <c s="1368"/>
      <c s="1634"/>
      <c s="624"/>
      <c s="624"/>
      <c s="624"/>
      <c s="624"/>
      <c s="1643">
        <v>11</v>
      </c>
    </row>
    <row r="99" spans="1:37" s="1643" customFormat="1" ht="11.55" customHeight="1">
      <c r="A99" s="989"/>
      <c s="989"/>
      <c s="989"/>
      <c s="989"/>
      <c s="989"/>
      <c s="1638"/>
      <c s="1638"/>
      <c s="353"/>
      <c r="N99" s="1368"/>
      <c r="P99" s="1368"/>
      <c s="1638"/>
      <c s="1638"/>
      <c s="1368"/>
      <c s="1368"/>
      <c s="1368"/>
      <c s="1368"/>
      <c s="1638"/>
      <c s="1368"/>
      <c s="1368"/>
      <c s="546"/>
      <c s="1368"/>
      <c s="1368"/>
      <c s="1368"/>
      <c s="1368"/>
      <c s="1368"/>
      <c s="1634"/>
      <c s="624"/>
      <c s="624"/>
      <c s="624"/>
      <c s="624"/>
      <c s="1643">
        <v>11</v>
      </c>
    </row>
    <row r="100" spans="1:37" s="1643" customFormat="1" ht="11.55" customHeight="1">
      <c r="A100" s="989"/>
      <c s="989"/>
      <c s="989"/>
      <c s="989"/>
      <c s="989"/>
      <c s="1638"/>
      <c s="1638"/>
      <c s="353"/>
      <c r="N100" s="1368"/>
      <c r="P100" s="1368"/>
      <c s="1638"/>
      <c s="1638"/>
      <c s="1368"/>
      <c s="1368"/>
      <c s="1368"/>
      <c s="1368"/>
      <c s="1638"/>
      <c s="1368"/>
      <c s="1368"/>
      <c s="546"/>
      <c s="1368"/>
      <c s="1368"/>
      <c s="1368"/>
      <c s="1368"/>
      <c s="1368"/>
      <c s="1634"/>
      <c s="624"/>
      <c s="624"/>
      <c s="624"/>
      <c s="624"/>
      <c s="1643">
        <v>11</v>
      </c>
    </row>
    <row r="101" spans="1:37" s="1643" customFormat="1" ht="11.55" customHeight="1">
      <c r="A101" s="989"/>
      <c s="989"/>
      <c s="989"/>
      <c s="989"/>
      <c s="989"/>
      <c s="1638"/>
      <c s="1638"/>
      <c s="353"/>
      <c r="N101" s="1368"/>
      <c r="P101" s="1368"/>
      <c s="1638"/>
      <c s="1638"/>
      <c s="1368"/>
      <c s="1368"/>
      <c s="1368"/>
      <c s="1368"/>
      <c s="1638"/>
      <c s="1368"/>
      <c s="1368"/>
      <c s="546"/>
      <c s="1368"/>
      <c s="1368"/>
      <c s="1368"/>
      <c s="1368"/>
      <c s="1368"/>
      <c s="1634"/>
      <c s="624"/>
      <c s="624"/>
      <c s="624"/>
      <c s="624"/>
      <c s="1643">
        <v>11</v>
      </c>
    </row>
    <row r="102" spans="1:37" s="1643" customFormat="1" ht="11.55" customHeight="1">
      <c r="A102" s="989"/>
      <c s="989"/>
      <c s="989"/>
      <c s="989"/>
      <c s="989"/>
      <c s="1638"/>
      <c s="1638"/>
      <c s="353"/>
      <c r="N102" s="1368"/>
      <c r="P102" s="1368"/>
      <c s="1638"/>
      <c s="1638"/>
      <c s="1368"/>
      <c s="1368"/>
      <c s="1368"/>
      <c s="1368"/>
      <c s="1638"/>
      <c s="1368"/>
      <c s="1368"/>
      <c s="546"/>
      <c s="1368"/>
      <c s="1368"/>
      <c s="1368"/>
      <c s="1368"/>
      <c s="1368"/>
      <c s="1634"/>
      <c s="624"/>
      <c s="624"/>
      <c s="624"/>
      <c s="624"/>
      <c s="1643">
        <v>11</v>
      </c>
    </row>
    <row r="103" spans="1:37" s="1643" customFormat="1" ht="11.55" customHeight="1">
      <c r="A103" s="989"/>
      <c s="989"/>
      <c s="989"/>
      <c s="989"/>
      <c s="989"/>
      <c s="1638"/>
      <c s="1638"/>
      <c s="353"/>
      <c r="N103" s="1368"/>
      <c r="P103" s="1368"/>
      <c s="1638"/>
      <c s="1638"/>
      <c s="1368"/>
      <c s="1368"/>
      <c s="1368"/>
      <c s="1368"/>
      <c s="1638"/>
      <c s="1368"/>
      <c s="1368"/>
      <c s="546"/>
      <c s="1368"/>
      <c s="1368"/>
      <c s="1368"/>
      <c s="1368"/>
      <c s="1368"/>
      <c s="1634"/>
      <c s="624"/>
      <c s="624"/>
      <c s="624"/>
      <c s="624"/>
      <c s="1643">
        <v>11</v>
      </c>
    </row>
    <row r="104" spans="1:37" s="1643" customFormat="1" ht="11.55" customHeight="1">
      <c r="A104" s="989"/>
      <c s="989"/>
      <c s="989"/>
      <c s="989"/>
      <c s="989"/>
      <c s="1638"/>
      <c s="1638"/>
      <c s="353"/>
      <c r="N104" s="1368"/>
      <c r="P104" s="1368"/>
      <c s="1638"/>
      <c s="1638"/>
      <c s="1368"/>
      <c s="1368"/>
      <c s="1368"/>
      <c s="1368"/>
      <c s="1638"/>
      <c s="1368"/>
      <c s="1368"/>
      <c s="546"/>
      <c s="1368"/>
      <c s="1368"/>
      <c s="1368"/>
      <c s="1368"/>
      <c s="1368"/>
      <c s="1634"/>
      <c s="624"/>
      <c s="624"/>
      <c s="624"/>
      <c s="624"/>
      <c s="1643">
        <v>11</v>
      </c>
    </row>
    <row r="105" spans="1:37" s="1643" customFormat="1" ht="11.55" customHeight="1">
      <c r="A105" s="989"/>
      <c s="989"/>
      <c s="989"/>
      <c s="989"/>
      <c s="989"/>
      <c s="1638"/>
      <c s="1638"/>
      <c s="353"/>
      <c r="N105" s="1368"/>
      <c r="P105" s="1368"/>
      <c s="1638"/>
      <c s="1638"/>
      <c s="1368"/>
      <c s="1368"/>
      <c s="1368"/>
      <c s="1368"/>
      <c s="1638"/>
      <c s="1368"/>
      <c s="1368"/>
      <c s="546"/>
      <c s="1368"/>
      <c s="1368"/>
      <c s="1368"/>
      <c s="1368"/>
      <c s="1368"/>
      <c s="1634"/>
      <c s="624"/>
      <c s="624"/>
      <c s="624"/>
      <c s="624"/>
      <c s="1643">
        <v>11</v>
      </c>
    </row>
    <row r="106" spans="1:37" s="1643" customFormat="1" ht="11.55" customHeight="1">
      <c r="A106" s="989"/>
      <c s="989"/>
      <c s="989"/>
      <c s="989"/>
      <c s="989"/>
      <c s="1638"/>
      <c s="1638"/>
      <c s="353"/>
      <c r="N106" s="1368"/>
      <c r="P106" s="1368"/>
      <c s="1638"/>
      <c s="1638"/>
      <c s="1368"/>
      <c s="1368"/>
      <c s="1368"/>
      <c s="1368"/>
      <c s="1638"/>
      <c s="1368"/>
      <c s="1368"/>
      <c s="546"/>
      <c s="1368"/>
      <c s="1368"/>
      <c s="1368"/>
      <c s="1368"/>
      <c s="1368"/>
      <c s="1634"/>
      <c s="624"/>
      <c s="624"/>
      <c s="624"/>
      <c s="624"/>
      <c s="1643">
        <v>11</v>
      </c>
    </row>
    <row r="107" spans="1:37" s="1643" customFormat="1" ht="11.55" customHeight="1">
      <c r="A107" s="989"/>
      <c s="989"/>
      <c s="989"/>
      <c s="989"/>
      <c s="989"/>
      <c s="1638"/>
      <c s="1638"/>
      <c s="353"/>
      <c r="N107" s="1368"/>
      <c r="P107" s="1368"/>
      <c s="1638"/>
      <c s="1638"/>
      <c s="1368"/>
      <c s="1368"/>
      <c s="1368"/>
      <c s="1368"/>
      <c s="1638"/>
      <c s="1368"/>
      <c s="1368"/>
      <c s="546"/>
      <c s="1368"/>
      <c s="1368"/>
      <c s="1368"/>
      <c s="1368"/>
      <c s="1368"/>
      <c s="1634"/>
      <c s="624"/>
      <c s="624"/>
      <c s="624"/>
      <c s="624"/>
      <c s="1643">
        <v>11</v>
      </c>
    </row>
    <row r="108" spans="1:37" s="1643" customFormat="1" ht="11.55" customHeight="1">
      <c r="A108" s="989"/>
      <c s="989"/>
      <c s="989"/>
      <c s="989"/>
      <c s="989"/>
      <c s="1638"/>
      <c s="1638"/>
      <c s="353"/>
      <c r="N108" s="1368"/>
      <c r="P108" s="1368"/>
      <c s="1638"/>
      <c s="1638"/>
      <c s="1368"/>
      <c s="1368"/>
      <c s="1368"/>
      <c s="1368"/>
      <c s="1638"/>
      <c s="1368"/>
      <c s="1368"/>
      <c s="546"/>
      <c s="1368"/>
      <c s="1368"/>
      <c s="1368"/>
      <c s="1368"/>
      <c s="1368"/>
      <c s="1634"/>
      <c s="624"/>
      <c s="624"/>
      <c s="624"/>
      <c s="624"/>
      <c s="1643">
        <v>11</v>
      </c>
    </row>
    <row r="109" spans="1:37" s="1643" customFormat="1" ht="11.55" customHeight="1">
      <c r="A109" s="989"/>
      <c s="989"/>
      <c s="989"/>
      <c s="989"/>
      <c s="989"/>
      <c s="1638"/>
      <c s="1638"/>
      <c s="353"/>
      <c r="N109" s="1368"/>
      <c r="P109" s="1368"/>
      <c s="1638"/>
      <c s="1638"/>
      <c s="1368"/>
      <c s="1368"/>
      <c s="1368"/>
      <c s="1368"/>
      <c s="1638"/>
      <c s="1368"/>
      <c s="1368"/>
      <c s="546"/>
      <c s="1368"/>
      <c s="1368"/>
      <c s="1368"/>
      <c s="1368"/>
      <c s="1368"/>
      <c s="1634"/>
      <c s="624"/>
      <c s="624"/>
      <c s="624"/>
      <c s="624"/>
      <c s="1643">
        <v>11</v>
      </c>
    </row>
    <row r="110" spans="1:37" s="1643" customFormat="1" ht="11.55" customHeight="1">
      <c r="A110" s="989"/>
      <c s="989"/>
      <c s="989"/>
      <c s="989"/>
      <c s="989"/>
      <c s="1638"/>
      <c s="1638"/>
      <c s="353"/>
      <c r="N110" s="1368"/>
      <c r="P110" s="1368"/>
      <c s="1638"/>
      <c s="1638"/>
      <c s="1368"/>
      <c s="1368"/>
      <c s="1368"/>
      <c s="1368"/>
      <c s="1638"/>
      <c s="1368"/>
      <c s="1368"/>
      <c s="546"/>
      <c s="1368"/>
      <c s="1368"/>
      <c s="1368"/>
      <c s="1368"/>
      <c s="1368"/>
      <c s="1634"/>
      <c s="624"/>
      <c s="624"/>
      <c s="624"/>
      <c s="624"/>
      <c s="1643">
        <v>11</v>
      </c>
    </row>
    <row r="111" spans="1:37" s="1643" customFormat="1" ht="11.55" customHeight="1">
      <c r="A111" s="989"/>
      <c s="989"/>
      <c s="989"/>
      <c s="989"/>
      <c s="989"/>
      <c s="1638"/>
      <c s="1638"/>
      <c s="353"/>
      <c r="N111" s="1368"/>
      <c r="P111" s="1368"/>
      <c s="1638"/>
      <c s="1638"/>
      <c s="1368"/>
      <c s="1368"/>
      <c s="1368"/>
      <c s="1368"/>
      <c s="1638"/>
      <c s="1368"/>
      <c s="1368"/>
      <c s="546"/>
      <c s="1368"/>
      <c s="1368"/>
      <c s="1368"/>
      <c s="1368"/>
      <c s="1368"/>
      <c s="1634"/>
      <c s="624"/>
      <c s="624"/>
      <c s="624"/>
      <c s="624"/>
      <c s="1643">
        <v>11</v>
      </c>
    </row>
    <row r="112" spans="1:37" s="1643" customFormat="1" ht="11.55" customHeight="1">
      <c r="A112" s="989"/>
      <c s="989"/>
      <c s="989"/>
      <c s="989"/>
      <c s="989"/>
      <c s="1638"/>
      <c s="1638"/>
      <c s="353"/>
      <c r="N112" s="1368"/>
      <c r="P112" s="1368"/>
      <c s="1638"/>
      <c s="1638"/>
      <c s="1368"/>
      <c s="1368"/>
      <c s="1368"/>
      <c s="1368"/>
      <c s="1638"/>
      <c s="1368"/>
      <c s="1368"/>
      <c s="546"/>
      <c s="1368"/>
      <c s="1368"/>
      <c s="1368"/>
      <c s="1368"/>
      <c s="1368"/>
      <c s="1634"/>
      <c s="624"/>
      <c s="624"/>
      <c s="624"/>
      <c s="624"/>
      <c s="1643">
        <v>11</v>
      </c>
    </row>
    <row r="113" spans="1:37" s="1643" customFormat="1" ht="11.55" customHeight="1">
      <c r="A113" s="989"/>
      <c s="989"/>
      <c s="989"/>
      <c s="989"/>
      <c s="989"/>
      <c s="1638"/>
      <c s="1638"/>
      <c s="353"/>
      <c r="N113" s="1368"/>
      <c r="P113" s="1368"/>
      <c s="1638"/>
      <c s="1638"/>
      <c s="1368"/>
      <c s="1368"/>
      <c s="1368"/>
      <c s="1368"/>
      <c s="1638"/>
      <c s="1368"/>
      <c s="1368"/>
      <c s="546"/>
      <c s="1368"/>
      <c s="1368"/>
      <c s="1368"/>
      <c s="1368"/>
      <c s="1368"/>
      <c s="1634"/>
      <c s="624"/>
      <c s="624"/>
      <c s="624"/>
      <c s="624"/>
      <c s="1643">
        <v>11</v>
      </c>
    </row>
    <row r="114" spans="1:37" s="1643" customFormat="1" ht="11.55" customHeight="1">
      <c r="A114" s="989"/>
      <c s="989"/>
      <c s="989"/>
      <c s="989"/>
      <c s="989"/>
      <c s="1638"/>
      <c s="1638"/>
      <c s="353"/>
      <c r="N114" s="1368"/>
      <c r="P114" s="1368"/>
      <c s="1638"/>
      <c s="1638"/>
      <c s="1368"/>
      <c s="1368"/>
      <c s="1368"/>
      <c s="1368"/>
      <c s="1638"/>
      <c s="1368"/>
      <c s="1368"/>
      <c s="546"/>
      <c s="1368"/>
      <c s="1368"/>
      <c s="1368"/>
      <c s="1368"/>
      <c s="1368"/>
      <c s="1634"/>
      <c s="624"/>
      <c s="624"/>
      <c s="624"/>
      <c s="624"/>
      <c s="1643">
        <v>11</v>
      </c>
    </row>
    <row r="115" spans="1:37" s="1643" customFormat="1" ht="11.55" customHeight="1">
      <c r="A115" s="989"/>
      <c s="989"/>
      <c s="989"/>
      <c s="989"/>
      <c s="989"/>
      <c s="1638"/>
      <c s="1638"/>
      <c s="353"/>
      <c r="N115" s="1368"/>
      <c r="P115" s="1368"/>
      <c s="1638"/>
      <c s="1638"/>
      <c s="1368"/>
      <c s="1368"/>
      <c s="1368"/>
      <c s="1368"/>
      <c s="1638"/>
      <c s="1368"/>
      <c s="1368"/>
      <c s="546"/>
      <c s="1368"/>
      <c s="1368"/>
      <c s="1368"/>
      <c s="1368"/>
      <c s="1368"/>
      <c s="1634"/>
      <c s="624"/>
      <c s="624"/>
      <c s="624"/>
      <c s="624"/>
      <c s="1643">
        <v>11</v>
      </c>
    </row>
    <row r="116" spans="1:37" s="1643" customFormat="1" ht="11.55" customHeight="1">
      <c r="A116" s="989"/>
      <c s="989"/>
      <c s="989"/>
      <c s="989"/>
      <c s="989"/>
      <c s="1638"/>
      <c s="1638"/>
      <c s="353"/>
      <c r="N116" s="1368"/>
      <c r="P116" s="1368"/>
      <c s="1638"/>
      <c s="1638"/>
      <c s="1368"/>
      <c s="1368"/>
      <c s="1368"/>
      <c s="1368"/>
      <c s="1638"/>
      <c s="1368"/>
      <c s="1368"/>
      <c s="546"/>
      <c s="1368"/>
      <c s="1368"/>
      <c s="1368"/>
      <c s="1368"/>
      <c s="1368"/>
      <c s="1634"/>
      <c s="624"/>
      <c s="624"/>
      <c s="624"/>
      <c s="624"/>
      <c s="1643">
        <v>11</v>
      </c>
    </row>
    <row r="117" spans="1:37" s="1643" customFormat="1" ht="11.55" customHeight="1">
      <c r="A117" s="989"/>
      <c s="989"/>
      <c s="989"/>
      <c s="989"/>
      <c s="989"/>
      <c s="1638"/>
      <c s="1638"/>
      <c s="353"/>
      <c r="N117" s="1368"/>
      <c r="P117" s="1368"/>
      <c s="1638"/>
      <c s="1638"/>
      <c s="1368"/>
      <c s="1368"/>
      <c s="1368"/>
      <c s="1368"/>
      <c s="1638"/>
      <c s="1368"/>
      <c s="1368"/>
      <c s="546"/>
      <c s="1368"/>
      <c s="1368"/>
      <c s="1368"/>
      <c s="1368"/>
      <c s="1368"/>
      <c s="1634"/>
      <c s="624"/>
      <c s="624"/>
      <c s="624"/>
      <c s="624"/>
      <c s="1643">
        <v>11</v>
      </c>
    </row>
    <row r="118" spans="1:37" s="1643" customFormat="1" ht="11.55" customHeight="1">
      <c r="A118" s="989"/>
      <c s="989"/>
      <c s="989"/>
      <c s="989"/>
      <c s="989"/>
      <c s="1638"/>
      <c s="1638"/>
      <c s="353"/>
      <c r="N118" s="1368"/>
      <c r="P118" s="1368"/>
      <c s="1638"/>
      <c s="1638"/>
      <c s="1368"/>
      <c s="1368"/>
      <c s="1368"/>
      <c s="1368"/>
      <c s="1638"/>
      <c s="1368"/>
      <c s="1368"/>
      <c s="546"/>
      <c s="1368"/>
      <c s="1368"/>
      <c s="1368"/>
      <c s="1368"/>
      <c s="1368"/>
      <c s="1634"/>
      <c s="624"/>
      <c s="624"/>
      <c s="624"/>
      <c s="624"/>
      <c s="1643">
        <v>11</v>
      </c>
    </row>
    <row r="119" spans="1:37" s="1643" customFormat="1" ht="11.55" customHeight="1">
      <c r="A119" s="989"/>
      <c s="989"/>
      <c s="989"/>
      <c s="989"/>
      <c s="989"/>
      <c s="1638"/>
      <c s="1638"/>
      <c s="353"/>
      <c r="N119" s="1368"/>
      <c r="P119" s="1368"/>
      <c s="1638"/>
      <c s="1638"/>
      <c s="1368"/>
      <c s="1368"/>
      <c s="1368"/>
      <c s="1368"/>
      <c s="1638"/>
      <c s="1368"/>
      <c s="1368"/>
      <c s="546"/>
      <c s="1368"/>
      <c s="1368"/>
      <c s="1368"/>
      <c s="1368"/>
      <c s="1368"/>
      <c s="1634"/>
      <c s="624"/>
      <c s="624"/>
      <c s="624"/>
      <c s="624"/>
      <c s="1643">
        <v>11</v>
      </c>
    </row>
    <row r="120" spans="1:37" s="1643" customFormat="1" ht="11.55" customHeight="1">
      <c r="A120" s="989"/>
      <c s="989"/>
      <c s="989"/>
      <c s="989"/>
      <c s="989"/>
      <c s="1638"/>
      <c s="1638"/>
      <c s="353"/>
      <c r="N120" s="1368"/>
      <c r="P120" s="1368"/>
      <c s="1638"/>
      <c s="1638"/>
      <c s="1368"/>
      <c s="1368"/>
      <c s="1368"/>
      <c s="1368"/>
      <c s="1638"/>
      <c s="1368"/>
      <c s="1368"/>
      <c s="546"/>
      <c s="1368"/>
      <c s="1368"/>
      <c s="1368"/>
      <c s="1368"/>
      <c s="1368"/>
      <c s="1634"/>
      <c s="624"/>
      <c s="624"/>
      <c s="624"/>
      <c s="624"/>
      <c s="1643">
        <v>11</v>
      </c>
    </row>
    <row r="121" spans="1:37" s="1643" customFormat="1" ht="11.55" customHeight="1">
      <c r="A121" s="989"/>
      <c s="989"/>
      <c s="989"/>
      <c s="989"/>
      <c s="989"/>
      <c s="1638"/>
      <c s="1638"/>
      <c s="353"/>
      <c r="N121" s="1368"/>
      <c r="P121" s="1368"/>
      <c s="1638"/>
      <c s="1638"/>
      <c s="1368"/>
      <c s="1368"/>
      <c s="1368"/>
      <c s="1368"/>
      <c s="1638"/>
      <c s="1368"/>
      <c s="1368"/>
      <c s="546"/>
      <c s="1368"/>
      <c s="1368"/>
      <c s="1368"/>
      <c s="1368"/>
      <c s="1368"/>
      <c s="1634"/>
      <c s="624"/>
      <c s="624"/>
      <c s="624"/>
      <c s="624"/>
      <c s="1643">
        <v>11</v>
      </c>
    </row>
    <row r="122" spans="1:37" s="1643" customFormat="1" ht="11.55" customHeight="1">
      <c r="A122" s="989"/>
      <c s="989"/>
      <c s="989"/>
      <c s="989"/>
      <c s="989"/>
      <c s="1638"/>
      <c s="1638"/>
      <c s="353"/>
      <c r="N122" s="1368"/>
      <c r="P122" s="1368"/>
      <c s="1638"/>
      <c s="1638"/>
      <c s="1368"/>
      <c s="1368"/>
      <c s="1368"/>
      <c s="1368"/>
      <c s="1638"/>
      <c s="1368"/>
      <c s="1368"/>
      <c s="546"/>
      <c s="1368"/>
      <c s="1368"/>
      <c s="1368"/>
      <c s="1368"/>
      <c s="1368"/>
      <c s="1634"/>
      <c s="624"/>
      <c s="624"/>
      <c s="624"/>
      <c s="624"/>
      <c s="1643">
        <v>11</v>
      </c>
    </row>
    <row r="123" spans="1:37" s="1643" customFormat="1" ht="11.55" customHeight="1">
      <c r="A123" s="989"/>
      <c s="989"/>
      <c s="989"/>
      <c s="989"/>
      <c s="989"/>
      <c s="1638"/>
      <c s="1638"/>
      <c s="353"/>
      <c r="N123" s="1368"/>
      <c r="P123" s="1368"/>
      <c s="1638"/>
      <c s="1638"/>
      <c s="1368"/>
      <c s="1368"/>
      <c s="1368"/>
      <c s="1368"/>
      <c s="1638"/>
      <c s="1368"/>
      <c s="1368"/>
      <c s="546"/>
      <c s="1368"/>
      <c s="1368"/>
      <c s="1368"/>
      <c s="1368"/>
      <c s="1368"/>
      <c s="1634"/>
      <c s="624"/>
      <c s="624"/>
      <c s="624"/>
      <c s="624"/>
      <c s="1643">
        <v>11</v>
      </c>
    </row>
    <row r="124" spans="1:37" s="1643" customFormat="1" ht="11.55" customHeight="1">
      <c r="A124" s="989"/>
      <c s="989"/>
      <c s="989"/>
      <c s="989"/>
      <c s="989"/>
      <c s="1638"/>
      <c s="1638"/>
      <c s="353"/>
      <c r="N124" s="1368"/>
      <c r="P124" s="1368"/>
      <c s="1638"/>
      <c s="1638"/>
      <c s="1368"/>
      <c s="1368"/>
      <c s="1368"/>
      <c s="1368"/>
      <c s="1638"/>
      <c s="1368"/>
      <c s="1368"/>
      <c s="546"/>
      <c s="1368"/>
      <c s="1368"/>
      <c s="1368"/>
      <c s="1368"/>
      <c s="1368"/>
      <c s="1634"/>
      <c s="624"/>
      <c s="624"/>
      <c s="624"/>
      <c s="624"/>
      <c s="1643">
        <v>11</v>
      </c>
    </row>
    <row r="125" spans="1:37" s="1643" customFormat="1" ht="11.55" customHeight="1">
      <c r="A125" s="989"/>
      <c s="989"/>
      <c s="989"/>
      <c s="989"/>
      <c s="989"/>
      <c s="1638"/>
      <c s="1638"/>
      <c s="353"/>
      <c r="N125" s="1368"/>
      <c r="P125" s="1368"/>
      <c s="1638"/>
      <c s="1638"/>
      <c s="1368"/>
      <c s="1368"/>
      <c s="1368"/>
      <c s="1368"/>
      <c s="1638"/>
      <c s="1368"/>
      <c s="1368"/>
      <c s="546"/>
      <c s="1368"/>
      <c s="1368"/>
      <c s="1368"/>
      <c s="1368"/>
      <c s="1368"/>
      <c s="1634"/>
      <c s="624"/>
      <c s="624"/>
      <c s="624"/>
      <c s="624"/>
      <c s="1643">
        <v>11</v>
      </c>
    </row>
    <row r="126" spans="1:37" s="1643" customFormat="1" ht="11.55" customHeight="1">
      <c r="A126" s="989"/>
      <c s="989"/>
      <c s="989"/>
      <c s="989"/>
      <c s="989"/>
      <c s="1638"/>
      <c s="1638"/>
      <c s="353"/>
      <c r="N126" s="1368"/>
      <c r="P126" s="1368"/>
      <c s="1638"/>
      <c s="1638"/>
      <c s="1368"/>
      <c s="1368"/>
      <c s="1368"/>
      <c s="1368"/>
      <c s="1638"/>
      <c s="1368"/>
      <c s="1368"/>
      <c s="546"/>
      <c s="1368"/>
      <c s="1368"/>
      <c s="1368"/>
      <c s="1368"/>
      <c s="1368"/>
      <c s="1634"/>
      <c s="624"/>
      <c s="624"/>
      <c s="624"/>
      <c s="624"/>
      <c s="1643">
        <v>11</v>
      </c>
    </row>
    <row r="127" spans="1:37" s="1643" customFormat="1" ht="11.55" customHeight="1">
      <c r="A127" s="989"/>
      <c s="989"/>
      <c s="989"/>
      <c s="989"/>
      <c s="989"/>
      <c s="1638"/>
      <c s="1638"/>
      <c s="353"/>
      <c r="N127" s="1368"/>
      <c r="P127" s="1368"/>
      <c s="1638"/>
      <c s="1638"/>
      <c s="1368"/>
      <c s="1368"/>
      <c s="1368"/>
      <c s="1368"/>
      <c s="1638"/>
      <c s="1368"/>
      <c s="1368"/>
      <c s="546"/>
      <c s="1368"/>
      <c s="1368"/>
      <c s="1368"/>
      <c s="1368"/>
      <c s="1368"/>
      <c s="1634"/>
      <c s="624"/>
      <c s="624"/>
      <c s="624"/>
      <c s="624"/>
      <c s="1643">
        <v>11</v>
      </c>
    </row>
    <row r="128" spans="1:37" s="1643" customFormat="1" ht="11.55" customHeight="1">
      <c r="A128" s="989"/>
      <c s="989"/>
      <c s="989"/>
      <c s="989"/>
      <c s="989"/>
      <c s="1638"/>
      <c s="1638"/>
      <c s="353"/>
      <c r="N128" s="1368"/>
      <c r="P128" s="1368"/>
      <c s="1638"/>
      <c s="1638"/>
      <c s="1368"/>
      <c s="1368"/>
      <c s="1368"/>
      <c s="1368"/>
      <c s="1638"/>
      <c s="1368"/>
      <c s="1368"/>
      <c s="546"/>
      <c s="1368"/>
      <c s="1368"/>
      <c s="1368"/>
      <c s="1368"/>
      <c s="1368"/>
      <c s="1634"/>
      <c s="624"/>
      <c s="624"/>
      <c s="624"/>
      <c s="624"/>
      <c s="1643">
        <v>11</v>
      </c>
    </row>
    <row r="129" spans="1:37" s="1643" customFormat="1" ht="11.55" customHeight="1">
      <c r="A129" s="989"/>
      <c s="989"/>
      <c s="989"/>
      <c s="989"/>
      <c s="989"/>
      <c s="1638"/>
      <c s="1638"/>
      <c s="353"/>
      <c r="N129" s="1368"/>
      <c r="P129" s="1368"/>
      <c s="1638"/>
      <c s="1638"/>
      <c s="1368"/>
      <c s="1368"/>
      <c s="1368"/>
      <c s="1368"/>
      <c s="1638"/>
      <c s="1368"/>
      <c s="1368"/>
      <c s="546"/>
      <c s="1368"/>
      <c s="1368"/>
      <c s="1368"/>
      <c s="1368"/>
      <c s="1368"/>
      <c s="1634"/>
      <c s="624"/>
      <c s="624"/>
      <c s="624"/>
      <c s="624"/>
      <c s="1643">
        <v>11</v>
      </c>
    </row>
    <row r="130" spans="1:37" s="1643" customFormat="1" ht="11.55" customHeight="1">
      <c r="A130" s="989"/>
      <c s="989"/>
      <c s="989"/>
      <c s="989"/>
      <c s="989"/>
      <c s="1638"/>
      <c s="1638"/>
      <c s="353"/>
      <c r="N130" s="1368"/>
      <c r="P130" s="1368"/>
      <c s="1638"/>
      <c s="1638"/>
      <c s="1368"/>
      <c s="1368"/>
      <c s="1368"/>
      <c s="1368"/>
      <c s="1638"/>
      <c s="1368"/>
      <c s="1368"/>
      <c s="546"/>
      <c s="1368"/>
      <c s="1368"/>
      <c s="1368"/>
      <c s="1368"/>
      <c s="1368"/>
      <c s="1634"/>
      <c s="624"/>
      <c s="624"/>
      <c s="624"/>
      <c s="624"/>
      <c s="1643">
        <v>11</v>
      </c>
    </row>
    <row r="131" spans="1:37" s="1643" customFormat="1" ht="11.55" customHeight="1">
      <c r="A131" s="989"/>
      <c s="989"/>
      <c s="989"/>
      <c s="989"/>
      <c s="989"/>
      <c s="1638"/>
      <c s="1638"/>
      <c s="353"/>
      <c r="N131" s="1368"/>
      <c r="P131" s="1368"/>
      <c s="1638"/>
      <c s="1638"/>
      <c s="1368"/>
      <c s="1368"/>
      <c s="1368"/>
      <c s="1368"/>
      <c s="1638"/>
      <c s="1368"/>
      <c s="1368"/>
      <c s="546"/>
      <c s="1368"/>
      <c s="1368"/>
      <c s="1368"/>
      <c s="1368"/>
      <c s="1368"/>
      <c s="1634"/>
      <c s="624"/>
      <c s="624"/>
      <c s="624"/>
      <c s="624"/>
      <c s="1643">
        <v>11</v>
      </c>
    </row>
    <row r="132" spans="1:37" s="1643" customFormat="1" ht="11.55" customHeight="1">
      <c r="A132" s="989"/>
      <c s="989"/>
      <c s="989"/>
      <c s="989"/>
      <c s="989"/>
      <c s="1638"/>
      <c s="1638"/>
      <c s="353"/>
      <c r="N132" s="1368"/>
      <c r="P132" s="1368"/>
      <c s="1638"/>
      <c s="1638"/>
      <c s="1368"/>
      <c s="1368"/>
      <c s="1368"/>
      <c s="1368"/>
      <c s="1638"/>
      <c s="1368"/>
      <c s="1368"/>
      <c s="546"/>
      <c s="1368"/>
      <c s="1368"/>
      <c s="1368"/>
      <c s="1368"/>
      <c s="1368"/>
      <c s="1634"/>
      <c s="624"/>
      <c s="624"/>
      <c s="624"/>
      <c s="624"/>
      <c s="1643">
        <v>11</v>
      </c>
    </row>
    <row r="133" spans="1:37" s="1643" customFormat="1" ht="11.55" customHeight="1">
      <c r="A133" s="989"/>
      <c s="989"/>
      <c s="989"/>
      <c s="989"/>
      <c s="989"/>
      <c s="1638"/>
      <c s="1638"/>
      <c s="353"/>
      <c r="N133" s="1368"/>
      <c r="P133" s="1368"/>
      <c s="1638"/>
      <c s="1638"/>
      <c s="1368"/>
      <c s="1368"/>
      <c s="1368"/>
      <c s="1368"/>
      <c s="1638"/>
      <c s="1368"/>
      <c s="1368"/>
      <c s="546"/>
      <c s="1368"/>
      <c s="1368"/>
      <c s="1368"/>
      <c s="1368"/>
      <c s="1368"/>
      <c s="1634"/>
      <c s="624"/>
      <c s="624"/>
      <c s="624"/>
      <c s="624"/>
      <c s="1643">
        <v>11</v>
      </c>
    </row>
    <row r="134" spans="1:37" s="1643" customFormat="1" ht="11.55" customHeight="1">
      <c r="A134" s="989"/>
      <c s="989"/>
      <c s="989"/>
      <c s="989"/>
      <c s="989"/>
      <c s="1638"/>
      <c s="1638"/>
      <c s="353"/>
      <c r="N134" s="1368"/>
      <c r="P134" s="1368"/>
      <c s="1638"/>
      <c s="1638"/>
      <c s="1368"/>
      <c s="1368"/>
      <c s="1368"/>
      <c s="1368"/>
      <c s="1638"/>
      <c s="1368"/>
      <c s="1368"/>
      <c s="546"/>
      <c s="1368"/>
      <c s="1368"/>
      <c s="1368"/>
      <c s="1368"/>
      <c s="1368"/>
      <c s="1634"/>
      <c s="624"/>
      <c s="624"/>
      <c s="624"/>
      <c s="624"/>
      <c s="1643">
        <v>11</v>
      </c>
    </row>
    <row r="135" spans="1:37" s="1643" customFormat="1" ht="11.55" customHeight="1">
      <c r="A135" s="989"/>
      <c s="989"/>
      <c s="989"/>
      <c s="989"/>
      <c s="989"/>
      <c s="1638"/>
      <c s="1638"/>
      <c s="353"/>
      <c r="N135" s="1368"/>
      <c r="P135" s="1368"/>
      <c s="1638"/>
      <c s="1638"/>
      <c s="1368"/>
      <c s="1368"/>
      <c s="1368"/>
      <c s="1368"/>
      <c s="1638"/>
      <c s="1368"/>
      <c s="1368"/>
      <c s="546"/>
      <c s="1368"/>
      <c s="1368"/>
      <c s="1368"/>
      <c s="1368"/>
      <c s="1368"/>
      <c s="1634"/>
      <c s="624"/>
      <c s="624"/>
      <c s="624"/>
      <c s="624"/>
      <c s="1643">
        <v>11</v>
      </c>
    </row>
    <row r="136" spans="1:37" s="1643" customFormat="1" ht="11.55" customHeight="1">
      <c r="A136" s="989"/>
      <c s="989"/>
      <c s="989"/>
      <c s="989"/>
      <c s="989"/>
      <c s="1638"/>
      <c s="1638"/>
      <c s="353"/>
      <c r="N136" s="1368"/>
      <c r="P136" s="1368"/>
      <c s="1638"/>
      <c s="1638"/>
      <c s="1368"/>
      <c s="1368"/>
      <c s="1368"/>
      <c s="1368"/>
      <c s="1638"/>
      <c s="1368"/>
      <c s="1368"/>
      <c s="546"/>
      <c s="1368"/>
      <c s="1368"/>
      <c s="1368"/>
      <c s="1368"/>
      <c s="1368"/>
      <c s="1634"/>
      <c s="624"/>
      <c s="624"/>
      <c s="624"/>
      <c s="624"/>
      <c s="1643">
        <v>11</v>
      </c>
    </row>
    <row r="137" spans="1:37" s="1643" customFormat="1" ht="11.55" customHeight="1">
      <c r="A137" s="989"/>
      <c s="989"/>
      <c s="989"/>
      <c s="989"/>
      <c s="989"/>
      <c s="1638"/>
      <c s="1638"/>
      <c s="353"/>
      <c r="N137" s="1368"/>
      <c r="P137" s="1368"/>
      <c s="1638"/>
      <c s="1638"/>
      <c s="1368"/>
      <c s="1368"/>
      <c s="1368"/>
      <c s="1368"/>
      <c s="1638"/>
      <c s="1368"/>
      <c s="1368"/>
      <c s="546"/>
      <c s="1368"/>
      <c s="1368"/>
      <c s="1368"/>
      <c s="1368"/>
      <c s="1368"/>
      <c s="1634"/>
      <c s="624"/>
      <c s="624"/>
      <c s="624"/>
      <c s="624"/>
      <c s="1643">
        <v>11</v>
      </c>
    </row>
    <row r="138" spans="1:37" s="1643" customFormat="1" ht="11.55" customHeight="1">
      <c r="A138" s="989"/>
      <c s="989"/>
      <c s="989"/>
      <c s="989"/>
      <c s="989"/>
      <c s="1638"/>
      <c s="1638"/>
      <c s="353"/>
      <c r="N138" s="1368"/>
      <c r="P138" s="1368"/>
      <c s="1638"/>
      <c s="1638"/>
      <c s="1368"/>
      <c s="1368"/>
      <c s="1368"/>
      <c s="1368"/>
      <c s="1638"/>
      <c s="1368"/>
      <c s="1368"/>
      <c s="546"/>
      <c s="1368"/>
      <c s="1368"/>
      <c s="1368"/>
      <c s="1368"/>
      <c s="1368"/>
      <c s="1634"/>
      <c s="624"/>
      <c s="624"/>
      <c s="624"/>
      <c s="624"/>
      <c s="1643">
        <v>11</v>
      </c>
    </row>
    <row r="139" spans="1:37" s="1643" customFormat="1" ht="11.55" customHeight="1">
      <c r="A139" s="989"/>
      <c s="989"/>
      <c s="989"/>
      <c s="989"/>
      <c s="989"/>
      <c s="1638"/>
      <c s="1638"/>
      <c s="353"/>
      <c r="N139" s="1368"/>
      <c r="P139" s="1368"/>
      <c s="1638"/>
      <c s="1638"/>
      <c s="1368"/>
      <c s="1368"/>
      <c s="1368"/>
      <c s="1368"/>
      <c s="1638"/>
      <c s="1368"/>
      <c s="1368"/>
      <c s="546"/>
      <c s="1368"/>
      <c s="1368"/>
      <c s="1368"/>
      <c s="1368"/>
      <c s="1368"/>
      <c s="1634"/>
      <c s="624"/>
      <c s="624"/>
      <c s="624"/>
      <c s="624"/>
      <c s="1643">
        <v>11</v>
      </c>
    </row>
    <row r="140" spans="1:37" s="1643" customFormat="1" ht="11.55" customHeight="1">
      <c r="A140" s="989"/>
      <c s="989"/>
      <c s="989"/>
      <c s="989"/>
      <c s="989"/>
      <c s="1638"/>
      <c s="1638"/>
      <c s="353"/>
      <c r="N140" s="1368"/>
      <c r="P140" s="1368"/>
      <c s="1638"/>
      <c s="1638"/>
      <c s="1368"/>
      <c s="1368"/>
      <c s="1368"/>
      <c s="1368"/>
      <c s="1638"/>
      <c s="1368"/>
      <c s="1368"/>
      <c s="546"/>
      <c s="1368"/>
      <c s="1368"/>
      <c s="1368"/>
      <c s="1368"/>
      <c s="1368"/>
      <c s="1634"/>
      <c s="624"/>
      <c s="624"/>
      <c s="624"/>
      <c s="624"/>
      <c s="1643">
        <v>11</v>
      </c>
    </row>
    <row r="141" spans="1:37" s="1643" customFormat="1" ht="11.55" customHeight="1">
      <c r="A141" s="989"/>
      <c s="989"/>
      <c s="989"/>
      <c s="989"/>
      <c s="989"/>
      <c s="1638"/>
      <c s="1638"/>
      <c s="353"/>
      <c r="N141" s="1368"/>
      <c r="P141" s="1368"/>
      <c s="1638"/>
      <c s="1638"/>
      <c s="1368"/>
      <c s="1368"/>
      <c s="1368"/>
      <c s="1368"/>
      <c s="1638"/>
      <c s="1368"/>
      <c s="1368"/>
      <c s="546"/>
      <c s="1368"/>
      <c s="1368"/>
      <c s="1368"/>
      <c s="1368"/>
      <c s="1368"/>
      <c s="1634"/>
      <c s="624"/>
      <c s="624"/>
      <c s="624"/>
      <c s="624"/>
      <c s="1643">
        <v>11</v>
      </c>
    </row>
    <row r="142" spans="1:37" s="1643" customFormat="1" ht="11.55" customHeight="1">
      <c r="A142" s="989"/>
      <c s="989"/>
      <c s="989"/>
      <c s="989"/>
      <c s="989"/>
      <c s="1638"/>
      <c s="1638"/>
      <c s="353"/>
      <c r="N142" s="1368"/>
      <c r="P142" s="1368"/>
      <c s="1638"/>
      <c s="1638"/>
      <c s="1368"/>
      <c s="1368"/>
      <c s="1368"/>
      <c s="1368"/>
      <c s="1638"/>
      <c s="1368"/>
      <c s="1368"/>
      <c s="546"/>
      <c s="1368"/>
      <c s="1368"/>
      <c s="1368"/>
      <c s="1368"/>
      <c s="1368"/>
      <c s="1634"/>
      <c s="624"/>
      <c s="624"/>
      <c s="624"/>
      <c s="624"/>
      <c s="1643">
        <v>11</v>
      </c>
    </row>
    <row r="143" spans="1:37" s="1643" customFormat="1" ht="11.55" customHeight="1">
      <c r="A143" s="989"/>
      <c s="989"/>
      <c s="989"/>
      <c s="989"/>
      <c s="989"/>
      <c s="1638"/>
      <c s="1638"/>
      <c s="353"/>
      <c r="N143" s="1368"/>
      <c r="P143" s="1368"/>
      <c s="1638"/>
      <c s="1638"/>
      <c s="1368"/>
      <c s="1368"/>
      <c s="1368"/>
      <c s="1368"/>
      <c s="1638"/>
      <c s="1368"/>
      <c s="1368"/>
      <c s="546"/>
      <c s="1368"/>
      <c s="1368"/>
      <c s="1368"/>
      <c s="1368"/>
      <c s="1368"/>
      <c s="1634"/>
      <c s="624"/>
      <c s="624"/>
      <c s="624"/>
      <c s="624"/>
      <c s="1643">
        <v>11</v>
      </c>
    </row>
    <row r="144" spans="1:37" s="1643" customFormat="1" ht="11.55" customHeight="1">
      <c r="A144" s="989"/>
      <c s="989"/>
      <c s="989"/>
      <c s="989"/>
      <c s="989"/>
      <c s="1638"/>
      <c s="1638"/>
      <c s="353"/>
      <c r="N144" s="1368"/>
      <c r="P144" s="1368"/>
      <c s="1638"/>
      <c s="1638"/>
      <c s="1368"/>
      <c s="1368"/>
      <c s="1368"/>
      <c s="1368"/>
      <c s="1638"/>
      <c s="1368"/>
      <c s="1368"/>
      <c s="546"/>
      <c s="1368"/>
      <c s="1368"/>
      <c s="1368"/>
      <c s="1368"/>
      <c s="1368"/>
      <c s="1634"/>
      <c s="624"/>
      <c s="624"/>
      <c s="624"/>
      <c s="624"/>
      <c s="1643">
        <v>11</v>
      </c>
    </row>
    <row r="145" spans="1:37" s="1643" customFormat="1" ht="11.55" customHeight="1">
      <c r="A145" s="989"/>
      <c s="989"/>
      <c s="989"/>
      <c s="989"/>
      <c s="989"/>
      <c s="1638"/>
      <c s="1638"/>
      <c s="353"/>
      <c r="N145" s="1368"/>
      <c r="P145" s="1368"/>
      <c s="1638"/>
      <c s="1638"/>
      <c s="1368"/>
      <c s="1368"/>
      <c s="1368"/>
      <c s="1368"/>
      <c s="1638"/>
      <c s="1368"/>
      <c s="1368"/>
      <c s="546"/>
      <c s="1368"/>
      <c s="1368"/>
      <c s="1368"/>
      <c s="1368"/>
      <c s="1368"/>
      <c s="1634"/>
      <c s="624"/>
      <c s="624"/>
      <c s="624"/>
      <c s="624"/>
      <c s="1643">
        <v>11</v>
      </c>
    </row>
    <row r="146" spans="1:37" s="1643" customFormat="1" ht="11.55" customHeight="1">
      <c r="A146" s="989"/>
      <c s="989"/>
      <c s="989"/>
      <c s="989"/>
      <c s="989"/>
      <c s="1638"/>
      <c s="1638"/>
      <c s="353"/>
      <c r="N146" s="1368"/>
      <c r="P146" s="1368"/>
      <c s="1638"/>
      <c s="1638"/>
      <c s="1368"/>
      <c s="1368"/>
      <c s="1368"/>
      <c s="1368"/>
      <c s="1638"/>
      <c s="1368"/>
      <c s="1368"/>
      <c s="546"/>
      <c s="1368"/>
      <c s="1368"/>
      <c s="1368"/>
      <c s="1368"/>
      <c s="1368"/>
      <c s="1634"/>
      <c s="624"/>
      <c s="624"/>
      <c s="624"/>
      <c s="624"/>
      <c s="1643">
        <v>11</v>
      </c>
    </row>
    <row r="147" spans="1:37" s="1643" customFormat="1" ht="11.55" customHeight="1">
      <c r="A147" s="989"/>
      <c s="989"/>
      <c s="989"/>
      <c s="989"/>
      <c s="989"/>
      <c s="1638"/>
      <c s="1638"/>
      <c s="353"/>
      <c r="N147" s="1368"/>
      <c r="P147" s="1368"/>
      <c s="1638"/>
      <c s="1638"/>
      <c s="1368"/>
      <c s="1368"/>
      <c s="1368"/>
      <c s="1368"/>
      <c s="1638"/>
      <c s="1368"/>
      <c s="1368"/>
      <c s="546"/>
      <c s="1368"/>
      <c s="1368"/>
      <c s="1368"/>
      <c s="1368"/>
      <c s="1368"/>
      <c s="1634"/>
      <c s="624"/>
      <c s="624"/>
      <c s="624"/>
      <c s="624"/>
      <c s="1643">
        <v>11</v>
      </c>
    </row>
    <row r="148" spans="1:37" s="1643" customFormat="1" ht="11.55" customHeight="1">
      <c r="A148" s="989"/>
      <c s="989"/>
      <c s="989"/>
      <c s="989"/>
      <c s="989"/>
      <c s="1638"/>
      <c s="1638"/>
      <c s="353"/>
      <c r="N148" s="1368"/>
      <c r="P148" s="1368"/>
      <c s="1638"/>
      <c s="1638"/>
      <c s="1368"/>
      <c s="1368"/>
      <c s="1368"/>
      <c s="1368"/>
      <c s="1638"/>
      <c s="1368"/>
      <c s="1368"/>
      <c s="546"/>
      <c s="1368"/>
      <c s="1368"/>
      <c s="1368"/>
      <c s="1368"/>
      <c s="1368"/>
      <c s="1634"/>
      <c s="624"/>
      <c s="624"/>
      <c s="624"/>
      <c s="624"/>
      <c s="1643">
        <v>11</v>
      </c>
    </row>
    <row r="149" spans="1:37" s="1643" customFormat="1" ht="11.55" customHeight="1">
      <c r="A149" s="989"/>
      <c s="989"/>
      <c s="989"/>
      <c s="989"/>
      <c s="989"/>
      <c s="1638"/>
      <c s="1638"/>
      <c s="353"/>
      <c r="N149" s="1368"/>
      <c r="P149" s="1368"/>
      <c s="1638"/>
      <c s="1638"/>
      <c s="1368"/>
      <c s="1368"/>
      <c s="1368"/>
      <c s="1368"/>
      <c s="1638"/>
      <c s="1368"/>
      <c s="1368"/>
      <c s="546"/>
      <c s="1368"/>
      <c s="1368"/>
      <c s="1368"/>
      <c s="1368"/>
      <c s="1368"/>
      <c s="1634"/>
      <c s="624"/>
      <c s="624"/>
      <c s="624"/>
      <c s="624"/>
      <c s="1643">
        <v>11</v>
      </c>
    </row>
    <row r="150" spans="1:37" s="1643" customFormat="1" ht="11.55" customHeight="1">
      <c r="A150" s="989"/>
      <c s="989"/>
      <c s="989"/>
      <c s="989"/>
      <c s="989"/>
      <c s="1638"/>
      <c s="1638"/>
      <c s="353"/>
      <c r="N150" s="1368"/>
      <c r="P150" s="1368"/>
      <c s="1638"/>
      <c s="1638"/>
      <c s="1368"/>
      <c s="1368"/>
      <c s="1368"/>
      <c s="1368"/>
      <c s="1638"/>
      <c s="1368"/>
      <c s="1368"/>
      <c s="546"/>
      <c s="1368"/>
      <c s="1368"/>
      <c s="1368"/>
      <c s="1368"/>
      <c s="1368"/>
      <c s="1634"/>
      <c s="624"/>
      <c s="624"/>
      <c s="624"/>
      <c s="624"/>
      <c s="1643">
        <v>11</v>
      </c>
    </row>
    <row r="151" spans="1:37" s="1643" customFormat="1" ht="11.55" customHeight="1">
      <c r="A151" s="989"/>
      <c s="989"/>
      <c s="989"/>
      <c s="989"/>
      <c s="989"/>
      <c s="1638"/>
      <c s="1638"/>
      <c s="353"/>
      <c r="N151" s="1368"/>
      <c r="P151" s="1368"/>
      <c s="1638"/>
      <c s="1638"/>
      <c s="1368"/>
      <c s="1368"/>
      <c s="1368"/>
      <c s="1368"/>
      <c s="1638"/>
      <c s="1368"/>
      <c s="1368"/>
      <c s="546"/>
      <c s="1368"/>
      <c s="1368"/>
      <c s="1368"/>
      <c s="1368"/>
      <c s="1368"/>
      <c s="1634"/>
      <c s="624"/>
      <c s="624"/>
      <c s="624"/>
      <c s="624"/>
      <c s="1643">
        <v>11</v>
      </c>
    </row>
    <row r="152" spans="1:37" s="1643" customFormat="1" ht="11.55" customHeight="1">
      <c r="A152" s="989"/>
      <c s="989"/>
      <c s="989"/>
      <c s="989"/>
      <c s="989"/>
      <c s="1638"/>
      <c s="1638"/>
      <c s="353"/>
      <c r="N152" s="1368"/>
      <c r="P152" s="1368"/>
      <c s="1638"/>
      <c s="1638"/>
      <c s="1368"/>
      <c s="1368"/>
      <c s="1368"/>
      <c s="1368"/>
      <c s="1638"/>
      <c s="1368"/>
      <c s="1368"/>
      <c s="546"/>
      <c s="1368"/>
      <c s="1368"/>
      <c s="1368"/>
      <c s="1368"/>
      <c s="1368"/>
      <c s="1634"/>
      <c s="624"/>
      <c s="624"/>
      <c s="624"/>
      <c s="624"/>
      <c s="1643">
        <v>11</v>
      </c>
    </row>
    <row r="153" spans="1:37" s="1643" customFormat="1" ht="11.55" customHeight="1">
      <c r="A153" s="989"/>
      <c s="989"/>
      <c s="989"/>
      <c s="989"/>
      <c s="989"/>
      <c s="1638"/>
      <c s="1638"/>
      <c s="353"/>
      <c r="N153" s="1368"/>
      <c r="P153" s="1368"/>
      <c s="1638"/>
      <c s="1638"/>
      <c s="1368"/>
      <c s="1368"/>
      <c s="1368"/>
      <c s="1368"/>
      <c s="1638"/>
      <c s="1368"/>
      <c s="1368"/>
      <c s="546"/>
      <c s="1368"/>
      <c s="1368"/>
      <c s="1368"/>
      <c s="1368"/>
      <c s="1368"/>
      <c s="1634"/>
      <c s="624"/>
      <c s="624"/>
      <c s="624"/>
      <c s="624"/>
      <c s="1643">
        <v>11</v>
      </c>
    </row>
    <row r="154" spans="1:37" s="1643" customFormat="1" ht="11.55" customHeight="1">
      <c r="A154" s="989"/>
      <c s="989"/>
      <c s="989"/>
      <c s="989"/>
      <c s="989"/>
      <c s="1638"/>
      <c s="1638"/>
      <c s="353"/>
      <c r="N154" s="1368"/>
      <c r="P154" s="1368"/>
      <c s="1638"/>
      <c s="1638"/>
      <c s="1368"/>
      <c s="1368"/>
      <c s="1368"/>
      <c s="1368"/>
      <c s="1638"/>
      <c s="1368"/>
      <c s="1368"/>
      <c s="546"/>
      <c s="1368"/>
      <c s="1368"/>
      <c s="1368"/>
      <c s="1368"/>
      <c s="1368"/>
      <c s="1634"/>
      <c s="624"/>
      <c s="624"/>
      <c s="624"/>
      <c s="624"/>
      <c s="1643">
        <v>11</v>
      </c>
    </row>
    <row r="155" spans="1:37" s="1643" customFormat="1" ht="11.55" customHeight="1">
      <c r="A155" s="989"/>
      <c s="989"/>
      <c s="989"/>
      <c s="989"/>
      <c s="989"/>
      <c s="1638"/>
      <c s="1638"/>
      <c s="353"/>
      <c r="N155" s="1368"/>
      <c r="P155" s="1368"/>
      <c s="1638"/>
      <c s="1638"/>
      <c s="1368"/>
      <c s="1368"/>
      <c s="1368"/>
      <c s="1368"/>
      <c s="1638"/>
      <c s="1368"/>
      <c s="1368"/>
      <c s="546"/>
      <c s="1368"/>
      <c s="1368"/>
      <c s="1368"/>
      <c s="1368"/>
      <c s="1368"/>
      <c s="1634"/>
      <c s="624"/>
      <c s="624"/>
      <c s="624"/>
      <c s="624"/>
      <c s="1643">
        <v>11</v>
      </c>
    </row>
    <row r="156" spans="1:37" s="1643" customFormat="1" ht="11.55" customHeight="1">
      <c r="A156" s="989"/>
      <c s="989"/>
      <c s="989"/>
      <c s="989"/>
      <c s="989"/>
      <c s="1638"/>
      <c s="1638"/>
      <c s="353"/>
      <c r="N156" s="1368"/>
      <c r="P156" s="1368"/>
      <c s="1638"/>
      <c s="1638"/>
      <c s="1368"/>
      <c s="1368"/>
      <c s="1368"/>
      <c s="1368"/>
      <c s="1638"/>
      <c s="1368"/>
      <c s="1368"/>
      <c s="546"/>
      <c s="1368"/>
      <c s="1368"/>
      <c s="1368"/>
      <c s="1368"/>
      <c s="1368"/>
      <c s="1634"/>
      <c s="624"/>
      <c s="624"/>
      <c s="624"/>
      <c s="624"/>
      <c s="1643">
        <v>11</v>
      </c>
    </row>
    <row r="157" spans="1:37" s="1643" customFormat="1" ht="11.55" customHeight="1">
      <c r="A157" s="989"/>
      <c s="989"/>
      <c s="989"/>
      <c s="989"/>
      <c s="989"/>
      <c s="1638"/>
      <c s="1638"/>
      <c s="353"/>
      <c r="N157" s="1368"/>
      <c r="P157" s="1368"/>
      <c s="1638"/>
      <c s="1638"/>
      <c s="1368"/>
      <c s="1368"/>
      <c s="1368"/>
      <c s="1368"/>
      <c s="1638"/>
      <c s="1368"/>
      <c s="1368"/>
      <c s="546"/>
      <c s="1368"/>
      <c s="1368"/>
      <c s="1368"/>
      <c s="1368"/>
      <c s="1368"/>
      <c s="1634"/>
      <c s="624"/>
      <c s="624"/>
      <c s="624"/>
      <c s="624"/>
      <c s="1643">
        <v>11</v>
      </c>
    </row>
    <row r="158" spans="1:37" s="1643" customFormat="1" ht="11.55" customHeight="1">
      <c r="A158" s="989"/>
      <c s="989"/>
      <c s="989"/>
      <c s="989"/>
      <c s="989"/>
      <c s="1638"/>
      <c s="1638"/>
      <c s="353"/>
      <c r="N158" s="1368"/>
      <c r="P158" s="1368"/>
      <c s="1638"/>
      <c s="1638"/>
      <c s="1368"/>
      <c s="1368"/>
      <c s="1368"/>
      <c s="1368"/>
      <c s="1638"/>
      <c s="1368"/>
      <c s="1368"/>
      <c s="546"/>
      <c s="1368"/>
      <c s="1368"/>
      <c s="1368"/>
      <c s="1368"/>
      <c s="1368"/>
      <c s="1634"/>
      <c s="624"/>
      <c s="624"/>
      <c s="624"/>
      <c s="624"/>
      <c s="1643">
        <v>11</v>
      </c>
    </row>
    <row r="159" spans="1:37" s="1643" customFormat="1" ht="11.55" customHeight="1">
      <c r="A159" s="989"/>
      <c s="989"/>
      <c s="989"/>
      <c s="989"/>
      <c s="989"/>
      <c s="1638"/>
      <c s="1638"/>
      <c s="353"/>
      <c r="N159" s="1368"/>
      <c r="P159" s="1368"/>
      <c s="1638"/>
      <c s="1638"/>
      <c s="1368"/>
      <c s="1368"/>
      <c s="1368"/>
      <c s="1368"/>
      <c s="1638"/>
      <c s="1368"/>
      <c s="1368"/>
      <c s="546"/>
      <c s="1368"/>
      <c s="1368"/>
      <c s="1368"/>
      <c s="1368"/>
      <c s="1368"/>
      <c s="1634"/>
      <c s="624"/>
      <c s="624"/>
      <c s="624"/>
      <c s="624"/>
      <c s="1643">
        <v>11</v>
      </c>
    </row>
    <row r="160" spans="1:37" s="1643" customFormat="1" ht="11.55" customHeight="1">
      <c r="A160" s="989"/>
      <c s="989"/>
      <c s="989"/>
      <c s="989"/>
      <c s="989"/>
      <c s="1638"/>
      <c s="1638"/>
      <c s="353"/>
      <c r="N160" s="1368"/>
      <c r="P160" s="1368"/>
      <c s="1638"/>
      <c s="1638"/>
      <c s="1368"/>
      <c s="1368"/>
      <c s="1368"/>
      <c s="1368"/>
      <c s="1638"/>
      <c s="1368"/>
      <c s="1368"/>
      <c s="546"/>
      <c s="1368"/>
      <c s="1368"/>
      <c s="1368"/>
      <c s="1368"/>
      <c s="1368"/>
      <c s="1634"/>
      <c s="624"/>
      <c s="624"/>
      <c s="624"/>
      <c s="624"/>
      <c s="1643">
        <v>11</v>
      </c>
    </row>
    <row r="161" spans="1:37" s="1643" customFormat="1" ht="11.55" customHeight="1">
      <c r="A161" s="989"/>
      <c s="989"/>
      <c s="989"/>
      <c s="989"/>
      <c s="989"/>
      <c s="1638"/>
      <c s="1638"/>
      <c s="353"/>
      <c r="N161" s="1368"/>
      <c r="P161" s="1368"/>
      <c s="1638"/>
      <c s="1638"/>
      <c s="1368"/>
      <c s="1368"/>
      <c s="1368"/>
      <c s="1368"/>
      <c s="1638"/>
      <c s="1368"/>
      <c s="1368"/>
      <c s="546"/>
      <c s="1368"/>
      <c s="1368"/>
      <c s="1368"/>
      <c s="1368"/>
      <c s="1368"/>
      <c s="1634"/>
      <c s="624"/>
      <c s="624"/>
      <c s="624"/>
      <c s="624"/>
      <c s="1643">
        <v>11</v>
      </c>
    </row>
    <row r="162" spans="1:37" s="1643" customFormat="1" ht="11.55" customHeight="1">
      <c r="A162" s="989"/>
      <c s="989"/>
      <c s="989"/>
      <c s="989"/>
      <c s="989"/>
      <c s="1638"/>
      <c s="1638"/>
      <c s="353"/>
      <c r="N162" s="1368"/>
      <c r="P162" s="1368"/>
      <c s="1638"/>
      <c s="1638"/>
      <c s="1368"/>
      <c s="1368"/>
      <c s="1368"/>
      <c s="1368"/>
      <c s="1638"/>
      <c s="1368"/>
      <c s="1368"/>
      <c s="546"/>
      <c s="1368"/>
      <c s="1368"/>
      <c s="1368"/>
      <c s="1368"/>
      <c s="1368"/>
      <c s="1634"/>
      <c s="624"/>
      <c s="624"/>
      <c s="624"/>
      <c s="624"/>
      <c s="1643">
        <v>11</v>
      </c>
    </row>
    <row r="163" spans="1:37" s="1643" customFormat="1" ht="11.55" customHeight="1">
      <c r="A163" s="989"/>
      <c s="989"/>
      <c s="989"/>
      <c s="989"/>
      <c s="989"/>
      <c s="1638"/>
      <c s="1638"/>
      <c s="353"/>
      <c r="N163" s="1368"/>
      <c r="P163" s="1368"/>
      <c s="1638"/>
      <c s="1638"/>
      <c s="1368"/>
      <c s="1368"/>
      <c s="1368"/>
      <c s="1368"/>
      <c s="1638"/>
      <c s="1368"/>
      <c s="1368"/>
      <c s="546"/>
      <c s="1368"/>
      <c s="1368"/>
      <c s="1368"/>
      <c s="1368"/>
      <c s="1368"/>
      <c s="1634"/>
      <c s="624"/>
      <c s="624"/>
      <c s="624"/>
      <c s="624"/>
      <c s="1643">
        <v>11</v>
      </c>
    </row>
    <row r="164" spans="1:37" s="1643" customFormat="1" ht="11.55" customHeight="1">
      <c r="A164" s="989"/>
      <c s="989"/>
      <c s="989"/>
      <c s="989"/>
      <c s="989"/>
      <c s="1638"/>
      <c s="1638"/>
      <c s="353"/>
      <c r="N164" s="1368"/>
      <c r="P164" s="1368"/>
      <c s="1638"/>
      <c s="1638"/>
      <c s="1368"/>
      <c s="1368"/>
      <c s="1368"/>
      <c s="1368"/>
      <c s="1638"/>
      <c s="1368"/>
      <c s="1368"/>
      <c s="546"/>
      <c s="1368"/>
      <c s="1368"/>
      <c s="1368"/>
      <c s="1368"/>
      <c s="1368"/>
      <c s="1634"/>
      <c s="624"/>
      <c s="624"/>
      <c s="624"/>
      <c s="624"/>
      <c s="1643">
        <v>11</v>
      </c>
    </row>
    <row r="165" spans="1:37" s="1643" customFormat="1" ht="11.55" customHeight="1">
      <c r="A165" s="989"/>
      <c s="989"/>
      <c s="989"/>
      <c s="989"/>
      <c s="989"/>
      <c s="1638"/>
      <c s="1638"/>
      <c s="353"/>
      <c r="N165" s="1368"/>
      <c r="P165" s="1368"/>
      <c s="1638"/>
      <c s="1638"/>
      <c s="1368"/>
      <c s="1368"/>
      <c s="1368"/>
      <c s="1368"/>
      <c s="1638"/>
      <c s="1368"/>
      <c s="1368"/>
      <c s="546"/>
      <c s="1368"/>
      <c s="1368"/>
      <c s="1368"/>
      <c s="1368"/>
      <c s="1368"/>
      <c s="1634"/>
      <c s="624"/>
      <c s="624"/>
      <c s="624"/>
      <c s="624"/>
      <c s="1643">
        <v>11</v>
      </c>
    </row>
    <row r="166" spans="1:37" s="1643" customFormat="1" ht="11.55" customHeight="1">
      <c r="A166" s="989"/>
      <c s="989"/>
      <c s="989"/>
      <c s="989"/>
      <c s="989"/>
      <c s="1638"/>
      <c s="1638"/>
      <c s="353"/>
      <c r="N166" s="1368"/>
      <c r="P166" s="1368"/>
      <c s="1638"/>
      <c s="1638"/>
      <c s="1368"/>
      <c s="1368"/>
      <c s="1368"/>
      <c s="1368"/>
      <c s="1638"/>
      <c s="1368"/>
      <c s="1368"/>
      <c s="546"/>
      <c s="1368"/>
      <c s="1368"/>
      <c s="1368"/>
      <c s="1368"/>
      <c s="1368"/>
      <c s="1634"/>
      <c s="624"/>
      <c s="624"/>
      <c s="624"/>
      <c s="624"/>
      <c s="1643">
        <v>11</v>
      </c>
    </row>
    <row r="167" spans="1:37" s="1643" customFormat="1" ht="11.55" customHeight="1">
      <c r="A167" s="989"/>
      <c s="989"/>
      <c s="989"/>
      <c s="989"/>
      <c s="989"/>
      <c s="1638"/>
      <c s="1638"/>
      <c s="353"/>
      <c r="N167" s="1368"/>
      <c r="P167" s="1368"/>
      <c s="1638"/>
      <c s="1638"/>
      <c s="1368"/>
      <c s="1368"/>
      <c s="1368"/>
      <c s="1368"/>
      <c s="1638"/>
      <c s="1368"/>
      <c s="1368"/>
      <c s="546"/>
      <c s="1368"/>
      <c s="1368"/>
      <c s="1368"/>
      <c s="1368"/>
      <c s="1368"/>
      <c s="1634"/>
      <c s="624"/>
      <c s="624"/>
      <c s="624"/>
      <c s="624"/>
      <c s="1643">
        <v>11</v>
      </c>
    </row>
    <row r="168" spans="1:37" s="1643" customFormat="1" ht="11.55" customHeight="1">
      <c r="A168" s="989"/>
      <c s="989"/>
      <c s="989"/>
      <c s="989"/>
      <c s="989"/>
      <c s="1638"/>
      <c s="1638"/>
      <c s="353"/>
      <c r="N168" s="1368"/>
      <c r="P168" s="1368"/>
      <c s="1638"/>
      <c s="1638"/>
      <c s="1368"/>
      <c s="1368"/>
      <c s="1368"/>
      <c s="1368"/>
      <c s="1638"/>
      <c s="1368"/>
      <c s="1368"/>
      <c s="546"/>
      <c s="1368"/>
      <c s="1368"/>
      <c s="1368"/>
      <c s="1368"/>
      <c s="1368"/>
      <c s="1634"/>
      <c s="624"/>
      <c s="624"/>
      <c s="624"/>
      <c s="624"/>
      <c s="1643">
        <v>11</v>
      </c>
    </row>
    <row r="169" spans="1:37" s="1643" customFormat="1" ht="11.55" customHeight="1">
      <c r="A169" s="989"/>
      <c s="989"/>
      <c s="989"/>
      <c s="989"/>
      <c s="989"/>
      <c s="1638"/>
      <c s="1638"/>
      <c s="353"/>
      <c r="N169" s="1368"/>
      <c r="P169" s="1368"/>
      <c s="1638"/>
      <c s="1638"/>
      <c s="1368"/>
      <c s="1368"/>
      <c s="1368"/>
      <c s="1368"/>
      <c s="1638"/>
      <c s="1368"/>
      <c s="1368"/>
      <c s="546"/>
      <c s="1368"/>
      <c s="1368"/>
      <c s="1368"/>
      <c s="1368"/>
      <c s="1368"/>
      <c s="1634"/>
      <c s="624"/>
      <c s="624"/>
      <c s="624"/>
      <c s="624"/>
      <c s="1643">
        <v>11</v>
      </c>
    </row>
    <row r="170" spans="1:37" s="1643" customFormat="1" ht="11.55" customHeight="1">
      <c r="A170" s="989"/>
      <c s="989"/>
      <c s="989"/>
      <c s="989"/>
      <c s="989"/>
      <c s="1638"/>
      <c s="1638"/>
      <c s="353"/>
      <c r="N170" s="1368"/>
      <c r="P170" s="1368"/>
      <c s="1638"/>
      <c s="1638"/>
      <c s="1368"/>
      <c s="1368"/>
      <c s="1368"/>
      <c s="1368"/>
      <c s="1638"/>
      <c s="1368"/>
      <c s="1368"/>
      <c s="546"/>
      <c s="1368"/>
      <c s="1368"/>
      <c s="1368"/>
      <c s="1368"/>
      <c s="1368"/>
      <c s="1634"/>
      <c s="624"/>
      <c s="624"/>
      <c s="624"/>
      <c s="624"/>
      <c s="1643">
        <v>11</v>
      </c>
    </row>
    <row r="171" spans="1:37" s="1643" customFormat="1" ht="11.55" customHeight="1">
      <c r="A171" s="989"/>
      <c s="989"/>
      <c s="989"/>
      <c s="989"/>
      <c s="989"/>
      <c s="1638"/>
      <c s="1638"/>
      <c s="353"/>
      <c r="N171" s="1368"/>
      <c r="P171" s="1368"/>
      <c s="1638"/>
      <c s="1638"/>
      <c s="1368"/>
      <c s="1368"/>
      <c s="1368"/>
      <c s="1368"/>
      <c s="1638"/>
      <c s="1368"/>
      <c s="1368"/>
      <c s="546"/>
      <c s="1368"/>
      <c s="1368"/>
      <c s="1368"/>
      <c s="1368"/>
      <c s="1368"/>
      <c s="1634"/>
      <c s="624"/>
      <c s="624"/>
      <c s="624"/>
      <c s="624"/>
      <c s="1643">
        <v>11</v>
      </c>
    </row>
    <row r="172" spans="1:37" s="1643" customFormat="1" ht="11.55" customHeight="1">
      <c r="A172" s="989"/>
      <c s="989"/>
      <c s="989"/>
      <c s="989"/>
      <c s="989"/>
      <c s="1638"/>
      <c s="1638"/>
      <c s="353"/>
      <c r="N172" s="1368"/>
      <c r="P172" s="1368"/>
      <c s="1638"/>
      <c s="1638"/>
      <c s="1368"/>
      <c s="1368"/>
      <c s="1368"/>
      <c s="1368"/>
      <c s="1638"/>
      <c s="1368"/>
      <c s="1368"/>
      <c s="546"/>
      <c s="1368"/>
      <c s="1368"/>
      <c s="1368"/>
      <c s="1368"/>
      <c s="1368"/>
      <c s="1634"/>
      <c s="624"/>
      <c s="624"/>
      <c s="624"/>
      <c s="624"/>
      <c s="1643">
        <v>11</v>
      </c>
    </row>
    <row r="173" spans="1:37" s="1643" customFormat="1" ht="11.55" customHeight="1">
      <c r="A173" s="989"/>
      <c s="989"/>
      <c s="989"/>
      <c s="989"/>
      <c s="989"/>
      <c s="1638"/>
      <c s="1638"/>
      <c s="353"/>
      <c r="N173" s="1368"/>
      <c r="P173" s="1368"/>
      <c s="1638"/>
      <c s="1638"/>
      <c s="1368"/>
      <c s="1368"/>
      <c s="1368"/>
      <c s="1368"/>
      <c s="1638"/>
      <c s="1368"/>
      <c s="1368"/>
      <c s="546"/>
      <c s="1368"/>
      <c s="1368"/>
      <c s="1368"/>
      <c s="1368"/>
      <c s="1368"/>
      <c s="1634"/>
      <c s="624"/>
      <c s="624"/>
      <c s="624"/>
      <c s="624"/>
      <c s="1643">
        <v>11</v>
      </c>
    </row>
    <row r="174" spans="1:37" s="1643" customFormat="1" ht="11.55" customHeight="1">
      <c r="A174" s="989"/>
      <c s="989"/>
      <c s="989"/>
      <c s="989"/>
      <c s="989"/>
      <c s="1638"/>
      <c s="1638"/>
      <c s="353"/>
      <c r="N174" s="1368"/>
      <c r="P174" s="1368"/>
      <c s="1638"/>
      <c s="1638"/>
      <c s="1368"/>
      <c s="1368"/>
      <c s="1368"/>
      <c s="1368"/>
      <c s="1638"/>
      <c s="1368"/>
      <c s="1368"/>
      <c s="546"/>
      <c s="1368"/>
      <c s="1368"/>
      <c s="1368"/>
      <c s="1368"/>
      <c s="1368"/>
      <c s="1634"/>
      <c s="624"/>
      <c s="624"/>
      <c s="624"/>
      <c s="624"/>
      <c s="1643">
        <v>11</v>
      </c>
    </row>
    <row r="175" spans="1:37" s="1643" customFormat="1" ht="11.55" customHeight="1">
      <c r="A175" s="989"/>
      <c s="989"/>
      <c s="989"/>
      <c s="989"/>
      <c s="989"/>
      <c s="1638"/>
      <c s="1638"/>
      <c s="353"/>
      <c r="N175" s="1368"/>
      <c r="P175" s="1368"/>
      <c s="1638"/>
      <c s="1638"/>
      <c s="1368"/>
      <c s="1368"/>
      <c s="1368"/>
      <c s="1368"/>
      <c s="1638"/>
      <c s="1368"/>
      <c s="1368"/>
      <c s="546"/>
      <c s="1368"/>
      <c s="1368"/>
      <c s="1368"/>
      <c s="1368"/>
      <c s="1368"/>
      <c s="1634"/>
      <c s="624"/>
      <c s="624"/>
      <c s="624"/>
      <c s="624"/>
      <c s="1643">
        <v>11</v>
      </c>
    </row>
    <row r="176" spans="1:37" s="1643" customFormat="1" ht="11.55" customHeight="1">
      <c r="A176" s="989"/>
      <c s="989"/>
      <c s="989"/>
      <c s="989"/>
      <c s="989"/>
      <c s="1638"/>
      <c s="1638"/>
      <c s="353"/>
      <c r="N176" s="1368"/>
      <c r="P176" s="1368"/>
      <c s="1638"/>
      <c s="1638"/>
      <c s="1368"/>
      <c s="1368"/>
      <c s="1368"/>
      <c s="1368"/>
      <c s="1638"/>
      <c s="1368"/>
      <c s="1368"/>
      <c s="546"/>
      <c s="1368"/>
      <c s="1368"/>
      <c s="1368"/>
      <c s="1368"/>
      <c s="1368"/>
      <c s="1634"/>
      <c s="624"/>
      <c s="624"/>
      <c s="624"/>
      <c s="624"/>
      <c s="1643">
        <v>11</v>
      </c>
    </row>
    <row r="177" spans="1:37" s="1643" customFormat="1" ht="11.55" customHeight="1">
      <c r="A177" s="989"/>
      <c s="989"/>
      <c s="989"/>
      <c s="989"/>
      <c s="989"/>
      <c s="1638"/>
      <c s="1638"/>
      <c s="353"/>
      <c r="N177" s="1368"/>
      <c r="P177" s="1368"/>
      <c s="1638"/>
      <c s="1638"/>
      <c s="1368"/>
      <c s="1368"/>
      <c s="1368"/>
      <c s="1368"/>
      <c s="1638"/>
      <c s="1368"/>
      <c s="1368"/>
      <c s="546"/>
      <c s="1368"/>
      <c s="1368"/>
      <c s="1368"/>
      <c s="1368"/>
      <c s="1368"/>
      <c s="1634"/>
      <c s="624"/>
      <c s="624"/>
      <c s="624"/>
      <c s="624"/>
      <c s="1643">
        <v>11</v>
      </c>
    </row>
    <row r="178" spans="1:37" s="1643" customFormat="1" ht="11.55" customHeight="1">
      <c r="A178" s="989"/>
      <c s="989"/>
      <c s="989"/>
      <c s="989"/>
      <c s="989"/>
      <c s="1638"/>
      <c s="1638"/>
      <c s="353"/>
      <c r="N178" s="1368"/>
      <c r="P178" s="1368"/>
      <c s="1638"/>
      <c s="1638"/>
      <c s="1368"/>
      <c s="1368"/>
      <c s="1368"/>
      <c s="1368"/>
      <c s="1638"/>
      <c s="1368"/>
      <c s="1368"/>
      <c s="546"/>
      <c s="1368"/>
      <c s="1368"/>
      <c s="1368"/>
      <c s="1368"/>
      <c s="1368"/>
      <c s="1634"/>
      <c s="624"/>
      <c s="624"/>
      <c s="624"/>
      <c s="624"/>
      <c s="1643">
        <v>11</v>
      </c>
    </row>
    <row r="179" spans="1:37" s="1643" customFormat="1" ht="11.55" customHeight="1">
      <c r="A179" s="989"/>
      <c s="989"/>
      <c s="989"/>
      <c s="989"/>
      <c s="989"/>
      <c s="1638"/>
      <c s="1638"/>
      <c s="353"/>
      <c r="N179" s="1368"/>
      <c r="P179" s="1368"/>
      <c s="1638"/>
      <c s="1638"/>
      <c s="1368"/>
      <c s="1368"/>
      <c s="1368"/>
      <c s="1368"/>
      <c s="1638"/>
      <c s="1368"/>
      <c s="1368"/>
      <c s="546"/>
      <c s="1368"/>
      <c s="1368"/>
      <c s="1368"/>
      <c s="1368"/>
      <c s="1368"/>
      <c s="1634"/>
      <c s="624"/>
      <c s="624"/>
      <c s="624"/>
      <c s="624"/>
      <c s="1643">
        <v>11</v>
      </c>
    </row>
    <row r="180" spans="1:37" s="1643" customFormat="1" ht="11.55" customHeight="1">
      <c r="A180" s="989"/>
      <c s="989"/>
      <c s="989"/>
      <c s="989"/>
      <c s="989"/>
      <c s="1638"/>
      <c s="1638"/>
      <c s="353"/>
      <c r="N180" s="1368"/>
      <c r="P180" s="1368"/>
      <c s="1638"/>
      <c s="1638"/>
      <c s="1368"/>
      <c s="1368"/>
      <c s="1368"/>
      <c s="1368"/>
      <c s="1638"/>
      <c s="1368"/>
      <c s="1368"/>
      <c s="546"/>
      <c s="1368"/>
      <c s="1368"/>
      <c s="1368"/>
      <c s="1368"/>
      <c s="1368"/>
      <c s="1634"/>
      <c s="624"/>
      <c s="624"/>
      <c s="624"/>
      <c s="624"/>
      <c s="1643">
        <v>11</v>
      </c>
    </row>
    <row r="181" spans="1:37" s="1643" customFormat="1" ht="11.55" customHeight="1">
      <c r="A181" s="989"/>
      <c s="989"/>
      <c s="989"/>
      <c s="989"/>
      <c s="989"/>
      <c s="1638"/>
      <c s="1638"/>
      <c s="353"/>
      <c r="N181" s="1368"/>
      <c r="P181" s="1368"/>
      <c s="1638"/>
      <c s="1638"/>
      <c s="1368"/>
      <c s="1368"/>
      <c s="1368"/>
      <c s="1368"/>
      <c s="1638"/>
      <c s="1368"/>
      <c s="1368"/>
      <c s="546"/>
      <c s="1368"/>
      <c s="1368"/>
      <c s="1368"/>
      <c s="1368"/>
      <c s="1368"/>
      <c s="1634"/>
      <c s="624"/>
      <c s="624"/>
      <c s="624"/>
      <c s="624"/>
      <c s="1643">
        <v>11</v>
      </c>
    </row>
    <row r="182" spans="1:37" s="1643" customFormat="1" ht="11.55" customHeight="1">
      <c r="A182" s="989"/>
      <c s="989"/>
      <c s="989"/>
      <c s="989"/>
      <c s="989"/>
      <c s="1638"/>
      <c s="1638"/>
      <c s="353"/>
      <c r="N182" s="1368"/>
      <c r="P182" s="1368"/>
      <c s="1638"/>
      <c s="1638"/>
      <c s="1368"/>
      <c s="1368"/>
      <c s="1368"/>
      <c s="1368"/>
      <c s="1638"/>
      <c s="1368"/>
      <c s="1368"/>
      <c s="546"/>
      <c s="1368"/>
      <c s="1368"/>
      <c s="1368"/>
      <c s="1368"/>
      <c s="1368"/>
      <c s="1634"/>
      <c s="624"/>
      <c s="624"/>
      <c s="624"/>
      <c s="624"/>
      <c s="1643">
        <v>11</v>
      </c>
    </row>
    <row r="183" spans="1:37" s="1643" customFormat="1" ht="11.55" customHeight="1">
      <c r="A183" s="989"/>
      <c s="989"/>
      <c s="989"/>
      <c s="989"/>
      <c s="989"/>
      <c s="1638"/>
      <c s="1638"/>
      <c s="353"/>
      <c r="N183" s="1368"/>
      <c r="P183" s="1368"/>
      <c s="1638"/>
      <c s="1638"/>
      <c s="1368"/>
      <c s="1368"/>
      <c s="1368"/>
      <c s="1368"/>
      <c s="1638"/>
      <c s="1368"/>
      <c s="1368"/>
      <c s="546"/>
      <c s="1368"/>
      <c s="1368"/>
      <c s="1368"/>
      <c s="1368"/>
      <c s="1368"/>
      <c s="1634"/>
      <c s="624"/>
      <c s="624"/>
      <c s="624"/>
      <c s="624"/>
      <c s="1643">
        <v>11</v>
      </c>
    </row>
    <row r="184" spans="1:37" s="1643" customFormat="1" ht="11.55" customHeight="1">
      <c r="A184" s="989"/>
      <c s="989"/>
      <c s="989"/>
      <c s="989"/>
      <c s="989"/>
      <c s="1638"/>
      <c s="1638"/>
      <c s="353"/>
      <c r="N184" s="1368"/>
      <c r="P184" s="1368"/>
      <c s="1638"/>
      <c s="1638"/>
      <c s="1368"/>
      <c s="1368"/>
      <c s="1368"/>
      <c s="1368"/>
      <c s="1638"/>
      <c s="1368"/>
      <c s="1368"/>
      <c s="546"/>
      <c s="1368"/>
      <c s="1368"/>
      <c s="1368"/>
      <c s="1368"/>
      <c s="1368"/>
      <c s="1634"/>
      <c s="624"/>
      <c s="624"/>
      <c s="624"/>
      <c s="624"/>
      <c s="1643">
        <v>11</v>
      </c>
    </row>
    <row r="185" spans="1:37" s="1643" customFormat="1" ht="11.55" customHeight="1">
      <c r="A185" s="989"/>
      <c s="989"/>
      <c s="989"/>
      <c s="989"/>
      <c s="989"/>
      <c s="1638"/>
      <c s="1638"/>
      <c s="353"/>
      <c r="N185" s="1368"/>
      <c r="P185" s="1368"/>
      <c s="1638"/>
      <c s="1638"/>
      <c s="1368"/>
      <c s="1368"/>
      <c s="1368"/>
      <c s="1368"/>
      <c s="1638"/>
      <c s="1368"/>
      <c s="1368"/>
      <c s="546"/>
      <c s="1368"/>
      <c s="1368"/>
      <c s="1368"/>
      <c s="1368"/>
      <c s="1368"/>
      <c s="1634"/>
      <c s="624"/>
      <c s="624"/>
      <c s="624"/>
      <c s="624"/>
      <c s="1643">
        <v>11</v>
      </c>
    </row>
    <row r="186" spans="1:37" s="1643" customFormat="1" ht="11.55" customHeight="1">
      <c r="A186" s="989"/>
      <c s="989"/>
      <c s="989"/>
      <c s="989"/>
      <c s="989"/>
      <c s="1638"/>
      <c s="1638"/>
      <c s="353"/>
      <c r="N186" s="1368"/>
      <c r="P186" s="1368"/>
      <c s="1638"/>
      <c s="1638"/>
      <c s="1368"/>
      <c s="1368"/>
      <c s="1368"/>
      <c s="1368"/>
      <c s="1638"/>
      <c s="1368"/>
      <c s="1368"/>
      <c s="546"/>
      <c s="1368"/>
      <c s="1368"/>
      <c s="1368"/>
      <c s="1368"/>
      <c s="1368"/>
      <c s="1634"/>
      <c s="624"/>
      <c s="624"/>
      <c s="624"/>
      <c s="624"/>
      <c s="1643">
        <v>11</v>
      </c>
    </row>
    <row r="187" spans="1:37" s="1643" customFormat="1" ht="11.55" customHeight="1">
      <c r="A187" s="989"/>
      <c s="989"/>
      <c s="989"/>
      <c s="989"/>
      <c s="989"/>
      <c s="1638"/>
      <c s="1638"/>
      <c s="353"/>
      <c r="N187" s="1368"/>
      <c r="P187" s="1368"/>
      <c s="1638"/>
      <c s="1638"/>
      <c s="1368"/>
      <c s="1368"/>
      <c s="1368"/>
      <c s="1368"/>
      <c s="1638"/>
      <c s="1368"/>
      <c s="1368"/>
      <c s="546"/>
      <c s="1368"/>
      <c s="1368"/>
      <c s="1368"/>
      <c s="1368"/>
      <c s="1368"/>
      <c s="1634"/>
      <c s="624"/>
      <c s="624"/>
      <c s="624"/>
      <c s="624"/>
      <c s="1643">
        <v>11</v>
      </c>
    </row>
    <row r="188" spans="1:37" s="1643" customFormat="1" ht="11.55" customHeight="1">
      <c r="A188" s="989"/>
      <c s="989"/>
      <c s="989"/>
      <c s="989"/>
      <c s="989"/>
      <c s="1638"/>
      <c s="1638"/>
      <c s="353"/>
      <c r="N188" s="1368"/>
      <c r="P188" s="1368"/>
      <c s="1638"/>
      <c s="1638"/>
      <c s="1368"/>
      <c s="1368"/>
      <c s="1368"/>
      <c s="1368"/>
      <c s="1638"/>
      <c s="1368"/>
      <c s="1368"/>
      <c s="546"/>
      <c s="1368"/>
      <c s="1368"/>
      <c s="1368"/>
      <c s="1368"/>
      <c s="1368"/>
      <c s="1634"/>
      <c s="624"/>
      <c s="624"/>
      <c s="624"/>
      <c s="624"/>
      <c s="1643">
        <v>11</v>
      </c>
    </row>
    <row r="189" spans="1:37" s="1643" customFormat="1" ht="11.55" customHeight="1">
      <c r="A189" s="989"/>
      <c s="989"/>
      <c s="989"/>
      <c s="989"/>
      <c s="989"/>
      <c s="1638"/>
      <c s="1638"/>
      <c s="353"/>
      <c r="N189" s="1368"/>
      <c r="P189" s="1368"/>
      <c s="1638"/>
      <c s="1638"/>
      <c s="1368"/>
      <c s="1368"/>
      <c s="1368"/>
      <c s="1368"/>
      <c s="1638"/>
      <c s="1368"/>
      <c s="1368"/>
      <c s="546"/>
      <c s="1368"/>
      <c s="1368"/>
      <c s="1368"/>
      <c s="1368"/>
      <c s="1368"/>
      <c s="1634"/>
      <c s="624"/>
      <c s="624"/>
      <c s="624"/>
      <c s="624"/>
      <c s="1643">
        <v>11</v>
      </c>
    </row>
    <row r="190" spans="37:37" ht="11.55" customHeight="1">
      <c r="AK190" s="1633">
        <v>11</v>
      </c>
    </row>
    <row r="191" spans="37:37" ht="11.55" customHeight="1">
      <c r="AK191" s="1633">
        <v>11</v>
      </c>
    </row>
    <row r="192" spans="37:37" ht="11.55" customHeight="1">
      <c r="AK192" s="1633">
        <v>11</v>
      </c>
    </row>
    <row r="193" spans="1:37" ht="11.55" customHeight="1">
      <c r="A193" s="992"/>
      <c s="992"/>
      <c s="992"/>
      <c s="992"/>
      <c s="992"/>
      <c s="1633"/>
      <c r="H193" s="1633"/>
      <c r="N193" s="1633"/>
      <c r="P193" s="1633"/>
      <c r="S193" s="1633"/>
      <c s="1633"/>
      <c s="1633"/>
      <c s="1633"/>
      <c r="X193" s="1633"/>
      <c s="1633"/>
      <c s="1633"/>
      <c s="1633"/>
      <c s="1633"/>
      <c s="1633"/>
      <c s="1633"/>
      <c s="1633"/>
      <c s="1633"/>
      <c s="1633"/>
      <c s="1633"/>
      <c s="1633"/>
      <c s="1633"/>
      <c s="1633">
        <v>11</v>
      </c>
    </row>
    <row r="194" spans="1:37" ht="11.55" customHeight="1">
      <c r="A194" s="992"/>
      <c s="992"/>
      <c s="992"/>
      <c s="992"/>
      <c s="992"/>
      <c s="1633"/>
      <c r="H194" s="1633"/>
      <c r="N194" s="1633"/>
      <c r="P194" s="1633"/>
      <c r="S194" s="1633"/>
      <c s="1633"/>
      <c s="1633"/>
      <c s="1633"/>
      <c r="X194" s="1633"/>
      <c s="1633"/>
      <c s="1633"/>
      <c s="1633"/>
      <c s="1633"/>
      <c s="1633"/>
      <c s="1633"/>
      <c s="1633"/>
      <c s="1633"/>
      <c s="1633"/>
      <c s="1633"/>
      <c s="1633"/>
      <c s="1633"/>
      <c s="1633">
        <v>11</v>
      </c>
    </row>
    <row r="195" spans="1:37" ht="11.55" customHeight="1">
      <c r="A195" s="992"/>
      <c s="992"/>
      <c s="992"/>
      <c s="992"/>
      <c s="992"/>
      <c s="1633"/>
      <c r="H195" s="1633"/>
      <c r="N195" s="1633"/>
      <c r="P195" s="1633"/>
      <c r="S195" s="1633"/>
      <c s="1633"/>
      <c s="1633"/>
      <c s="1633"/>
      <c r="X195" s="1633"/>
      <c s="1633"/>
      <c s="1633"/>
      <c s="1633"/>
      <c s="1633"/>
      <c s="1633"/>
      <c s="1633"/>
      <c s="1633"/>
      <c s="1633"/>
      <c s="1633"/>
      <c s="1633"/>
      <c s="1633"/>
      <c s="1633"/>
      <c s="1633">
        <v>11</v>
      </c>
    </row>
    <row r="196" spans="1:37" ht="11.55" customHeight="1">
      <c r="A196" s="992"/>
      <c s="992"/>
      <c s="992"/>
      <c s="992"/>
      <c s="992"/>
      <c s="1633"/>
      <c r="H196" s="1633"/>
      <c r="N196" s="1633"/>
      <c r="P196" s="1633"/>
      <c r="S196" s="1633"/>
      <c s="1633"/>
      <c s="1633"/>
      <c s="1633"/>
      <c r="X196" s="1633"/>
      <c s="1633"/>
      <c s="1633"/>
      <c s="1633"/>
      <c s="1633"/>
      <c s="1633"/>
      <c s="1633"/>
      <c s="1633"/>
      <c s="1633"/>
      <c s="1633"/>
      <c s="1633"/>
      <c s="1633"/>
      <c s="1633"/>
      <c s="1633">
        <v>11</v>
      </c>
    </row>
    <row r="197" spans="1:37" ht="11.55" customHeight="1">
      <c r="A197" s="992"/>
      <c s="992"/>
      <c s="992"/>
      <c s="992"/>
      <c s="992"/>
      <c s="1633"/>
      <c r="H197" s="1633"/>
      <c r="N197" s="1633"/>
      <c r="P197" s="1633"/>
      <c r="S197" s="1633"/>
      <c s="1633"/>
      <c s="1633"/>
      <c s="1633"/>
      <c r="X197" s="1633"/>
      <c s="1633"/>
      <c s="1633"/>
      <c s="1633"/>
      <c s="1633"/>
      <c s="1633"/>
      <c s="1633"/>
      <c s="1633"/>
      <c s="1633"/>
      <c s="1633"/>
      <c s="1633"/>
      <c s="1633"/>
      <c s="1633"/>
      <c s="1633">
        <v>11</v>
      </c>
    </row>
    <row r="198" spans="1:37" ht="11.55" customHeight="1">
      <c r="A198" s="992"/>
      <c s="992"/>
      <c s="992"/>
      <c s="992"/>
      <c s="992"/>
      <c s="1633"/>
      <c r="H198" s="1633"/>
      <c r="N198" s="1633"/>
      <c r="P198" s="1633"/>
      <c r="S198" s="1633"/>
      <c s="1633"/>
      <c s="1633"/>
      <c s="1633"/>
      <c r="X198" s="1633"/>
      <c s="1633"/>
      <c s="1633"/>
      <c s="1633"/>
      <c s="1633"/>
      <c s="1633"/>
      <c s="1633"/>
      <c s="1633"/>
      <c s="1633"/>
      <c s="1633"/>
      <c s="1633"/>
      <c s="1633"/>
      <c s="1633"/>
      <c s="1633">
        <v>11</v>
      </c>
    </row>
    <row r="199" spans="1:37" ht="11.55" customHeight="1">
      <c r="A199" s="992"/>
      <c s="992"/>
      <c s="992"/>
      <c s="992"/>
      <c s="992"/>
      <c s="1633"/>
      <c r="H199" s="1633"/>
      <c r="N199" s="1633"/>
      <c r="P199" s="1633"/>
      <c r="S199" s="1633"/>
      <c s="1633"/>
      <c s="1633"/>
      <c s="1633"/>
      <c r="X199" s="1633"/>
      <c s="1633"/>
      <c s="1633"/>
      <c s="1633"/>
      <c s="1633"/>
      <c s="1633"/>
      <c s="1633"/>
      <c s="1633"/>
      <c s="1633"/>
      <c s="1633"/>
      <c s="1633"/>
      <c s="1633"/>
      <c s="1633"/>
      <c s="1633">
        <v>11</v>
      </c>
    </row>
    <row r="200" spans="1:37" ht="11.55" customHeight="1">
      <c r="A200" s="992"/>
      <c s="992"/>
      <c s="992"/>
      <c s="992"/>
      <c s="992"/>
      <c s="1633"/>
      <c r="H200" s="1633"/>
      <c r="N200" s="1633"/>
      <c r="P200" s="1633"/>
      <c r="S200" s="1633"/>
      <c s="1633"/>
      <c s="1633"/>
      <c s="1633"/>
      <c r="X200" s="1633"/>
      <c s="1633"/>
      <c s="1633"/>
      <c s="1633"/>
      <c s="1633"/>
      <c s="1633"/>
      <c s="1633"/>
      <c s="1633"/>
      <c s="1633"/>
      <c s="1633"/>
      <c s="1633"/>
      <c s="1633"/>
      <c s="1633"/>
      <c s="1633">
        <v>11</v>
      </c>
    </row>
    <row r="201" spans="1:37" ht="11.55" customHeight="1">
      <c r="A201" s="992"/>
      <c s="992"/>
      <c s="992"/>
      <c s="992"/>
      <c s="992"/>
      <c s="1633"/>
      <c r="H201" s="1633"/>
      <c r="N201" s="1633"/>
      <c r="P201" s="1633"/>
      <c r="S201" s="1633"/>
      <c s="1633"/>
      <c s="1633"/>
      <c s="1633"/>
      <c r="X201" s="1633"/>
      <c s="1633"/>
      <c s="1633"/>
      <c s="1633"/>
      <c s="1633"/>
      <c s="1633"/>
      <c s="1633"/>
      <c s="1633"/>
      <c s="1633"/>
      <c s="1633"/>
      <c s="1633"/>
      <c s="1633"/>
      <c s="1633"/>
      <c s="1633">
        <v>11</v>
      </c>
    </row>
    <row r="202" spans="1:37" ht="11.55" customHeight="1">
      <c r="A202" s="992"/>
      <c s="992"/>
      <c s="992"/>
      <c s="992"/>
      <c s="992"/>
      <c s="1633"/>
      <c r="H202" s="1633"/>
      <c r="N202" s="1633"/>
      <c r="P202" s="1633"/>
      <c r="S202" s="1633"/>
      <c s="1633"/>
      <c s="1633"/>
      <c s="1633"/>
      <c r="X202" s="1633"/>
      <c s="1633"/>
      <c s="1633"/>
      <c s="1633"/>
      <c s="1633"/>
      <c s="1633"/>
      <c s="1633"/>
      <c s="1633"/>
      <c s="1633"/>
      <c s="1633"/>
      <c s="1633"/>
      <c s="1633"/>
      <c s="1633"/>
      <c s="1633">
        <v>11</v>
      </c>
    </row>
    <row r="203" spans="1:37" ht="11.55" customHeight="1">
      <c r="A203" s="992"/>
      <c s="992"/>
      <c s="992"/>
      <c s="992"/>
      <c s="992"/>
      <c s="1633"/>
      <c r="H203" s="1633"/>
      <c r="N203" s="1633"/>
      <c r="P203" s="1633"/>
      <c r="S203" s="1633"/>
      <c s="1633"/>
      <c s="1633"/>
      <c s="1633"/>
      <c r="X203" s="1633"/>
      <c s="1633"/>
      <c s="1633"/>
      <c s="1633"/>
      <c s="1633"/>
      <c s="1633"/>
      <c s="1633"/>
      <c s="1633"/>
      <c s="1633"/>
      <c s="1633"/>
      <c s="1633"/>
      <c s="1633"/>
      <c s="1633"/>
      <c s="1633">
        <v>11</v>
      </c>
    </row>
    <row r="204" spans="1:37" ht="12.75" customHeight="1" hidden="1">
      <c r="A204" s="989" t="s">
        <v>81</v>
      </c>
      <c s="989" t="s">
        <v>151</v>
      </c>
      <c s="989" t="s">
        <v>151</v>
      </c>
      <c s="989" t="s">
        <v>151</v>
      </c>
      <c s="989" t="s">
        <v>151</v>
      </c>
      <c s="1637">
        <v>16</v>
      </c>
      <c s="1638">
        <v>0</v>
      </c>
      <c s="1637">
        <v>3</v>
      </c>
      <c s="1633">
        <v>7</v>
      </c>
      <c s="1633">
        <v>56</v>
      </c>
      <c s="1633">
        <v>10</v>
      </c>
      <c s="1633">
        <v>40</v>
      </c>
      <c s="1633">
        <v>40</v>
      </c>
      <c s="1368">
        <v>9</v>
      </c>
      <c s="1633">
        <v>102</v>
      </c>
      <c s="1368">
        <v>9</v>
      </c>
      <c s="1638">
        <v>5</v>
      </c>
      <c s="1638">
        <v>3</v>
      </c>
      <c s="1368">
        <v>3</v>
      </c>
      <c s="1368">
        <v>3</v>
      </c>
      <c s="1368">
        <v>3</v>
      </c>
      <c s="1368">
        <v>3</v>
      </c>
      <c s="1638">
        <v>10</v>
      </c>
      <c s="1368">
        <v>34</v>
      </c>
      <c s="1368">
        <v>9</v>
      </c>
      <c s="546">
        <v>8</v>
      </c>
      <c s="1368">
        <v>8</v>
      </c>
      <c s="1368">
        <v>8</v>
      </c>
      <c s="1368">
        <v>8</v>
      </c>
      <c s="1368">
        <v>8</v>
      </c>
      <c s="1368">
        <v>8</v>
      </c>
      <c s="1634">
        <v>8</v>
      </c>
      <c s="1634">
        <v>8</v>
      </c>
      <c s="1634">
        <v>8</v>
      </c>
      <c s="1634">
        <v>8</v>
      </c>
      <c s="1634">
        <v>8</v>
      </c>
      <c s="1633">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50FAA54-9256-5C9A-22E9-0.B390AEF7}"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7" hidden="1"/>
    <col min="5" max="5" width="9.14285714285714" style="2399" hidden="1" customWidth="1"/>
    <col min="6" max="7" width="9.14285714285714" style="1368" hidden="1" customWidth="1"/>
    <col min="8" max="8" width="3" style="346" customWidth="1"/>
    <col min="9" max="9" width="6" style="1637" customWidth="1"/>
    <col min="10" max="10" width="63" style="1637" customWidth="1"/>
    <col min="11" max="11" width="9" style="1637" customWidth="1"/>
    <col min="12" max="12" width="39" style="1637" customWidth="1"/>
    <col min="13" max="13" width="89" style="1637" customWidth="1"/>
    <col min="14" max="14" width="10" style="1637" customWidth="1"/>
    <col min="15" max="16" width="10" style="1626" customWidth="1"/>
    <col min="17" max="22" width="10" style="1637" customWidth="1"/>
    <col min="23" max="23" width="10.5714285714286" style="1637" hidden="1"/>
  </cols>
  <sheetData>
    <row r="1" spans="19:23" ht="22.5" customHeight="1" hidden="1">
      <c r="S1" s="257"/>
      <c s="257"/>
      <c r="V1" s="257"/>
      <c s="1633" t="s">
        <v>14</v>
      </c>
    </row>
    <row r="2" spans="2:23" ht="22.5" customHeight="1" hidden="1">
      <c r="B2" s="2055" t="s">
        <v>687</v>
      </c>
      <c s="2055" t="s">
        <v>688</v>
      </c>
      <c s="2054" t="s">
        <v>627</v>
      </c>
      <c s="2060">
        <f>I2-3</f>
        <v>-3</v>
      </c>
      <c s="2060">
        <f>J2</f>
        <v>0</v>
      </c>
      <c r="H2" s="1732" t="s">
        <v>689</v>
      </c>
      <c s="2026"/>
      <c s="1684"/>
      <c s="2020" t="s">
        <v>306</v>
      </c>
      <c s="1166"/>
      <c s="299"/>
      <c s="1626"/>
      <c r="P2" s="1633"/>
      <c r="W2" s="1633">
        <v>0</v>
      </c>
    </row>
    <row r="3" spans="23:23" ht="14.25" customHeight="1" hidden="1">
      <c r="W3" s="1633">
        <v>0</v>
      </c>
    </row>
    <row r="4" spans="8:23" ht="6.3" customHeight="1">
      <c r="H4" s="378"/>
      <c s="459"/>
      <c s="459"/>
      <c s="459"/>
      <c s="87"/>
      <c s="87"/>
      <c r="W4" s="1633">
        <v>6</v>
      </c>
    </row>
    <row r="5" spans="8:23" ht="50.25" customHeight="1">
      <c r="H5" s="378"/>
      <c s="2250" t="s">
        <v>690</v>
      </c>
      <c s="2250"/>
      <c s="2250"/>
      <c s="2250"/>
      <c s="268"/>
      <c r="W5" s="1633">
        <v>48</v>
      </c>
    </row>
    <row r="6" spans="8:23" ht="18" customHeight="1">
      <c r="H6" s="378"/>
      <c s="2251" t="str">
        <f>IF(org=0,"Не определено",org)</f>
        <v>ГУП КК "Кубаньводкомплекс"</v>
      </c>
      <c s="2251"/>
      <c s="2251"/>
      <c s="2251"/>
      <c s="268"/>
      <c r="W6" s="1633">
        <v>17</v>
      </c>
    </row>
    <row r="7" spans="8:23" ht="14.7" customHeight="1">
      <c r="H7" s="378"/>
      <c s="459"/>
      <c s="465"/>
      <c s="465"/>
      <c s="754"/>
      <c s="195"/>
      <c r="W7" s="1633">
        <v>14</v>
      </c>
    </row>
    <row r="8" spans="8:23" ht="14.7" customHeight="1">
      <c r="H8" s="378"/>
      <c s="2388" t="s">
        <v>300</v>
      </c>
      <c s="2389"/>
      <c s="2389"/>
      <c s="2390"/>
      <c s="2391" t="s">
        <v>301</v>
      </c>
      <c r="W8" s="1633">
        <v>14</v>
      </c>
    </row>
    <row r="9" spans="5:23" ht="35.7" customHeight="1">
      <c r="E9" s="2053" t="s">
        <v>618</v>
      </c>
      <c s="2053" t="s">
        <v>624</v>
      </c>
      <c r="H9" s="378"/>
      <c s="2027" t="s">
        <v>87</v>
      </c>
      <c s="2028" t="s">
        <v>302</v>
      </c>
      <c s="2066" t="s">
        <v>566</v>
      </c>
      <c s="2067" t="s">
        <v>303</v>
      </c>
      <c s="2391"/>
      <c r="W9" s="1633">
        <v>34</v>
      </c>
    </row>
    <row r="10" spans="2:23" ht="35.7" customHeight="1">
      <c r="B10" s="2055" t="s">
        <v>691</v>
      </c>
      <c s="2055" t="s">
        <v>692</v>
      </c>
      <c s="2054" t="s">
        <v>627</v>
      </c>
      <c s="2058" t="s">
        <v>628</v>
      </c>
      <c s="2058" t="s">
        <v>628</v>
      </c>
      <c r="H10" s="378"/>
      <c s="2026" t="s">
        <v>109</v>
      </c>
      <c s="1888" t="s">
        <v>693</v>
      </c>
      <c s="2020" t="s">
        <v>306</v>
      </c>
      <c s="820"/>
      <c s="299" t="s">
        <v>694</v>
      </c>
      <c r="W10" s="1633">
        <v>34</v>
      </c>
    </row>
    <row r="11" spans="2:23" ht="50.25" customHeight="1">
      <c r="B11" s="2055" t="s">
        <v>695</v>
      </c>
      <c s="2055" t="s">
        <v>696</v>
      </c>
      <c s="2054" t="s">
        <v>627</v>
      </c>
      <c s="2058" t="s">
        <v>628</v>
      </c>
      <c s="2058" t="s">
        <v>628</v>
      </c>
      <c r="H11" s="378"/>
      <c s="2026" t="s">
        <v>110</v>
      </c>
      <c s="1888" t="s">
        <v>697</v>
      </c>
      <c s="2020" t="s">
        <v>306</v>
      </c>
      <c s="820"/>
      <c s="299" t="s">
        <v>694</v>
      </c>
      <c r="W11" s="1633">
        <v>48</v>
      </c>
    </row>
    <row r="12" spans="2:23" ht="48.3" customHeight="1">
      <c r="B12" s="2055" t="s">
        <v>698</v>
      </c>
      <c s="2055" t="s">
        <v>699</v>
      </c>
      <c s="2054" t="s">
        <v>627</v>
      </c>
      <c s="2058" t="s">
        <v>628</v>
      </c>
      <c s="2058" t="s">
        <v>628</v>
      </c>
      <c r="H12" s="1690"/>
      <c s="2026" t="s">
        <v>89</v>
      </c>
      <c s="2033" t="s">
        <v>700</v>
      </c>
      <c s="2020" t="s">
        <v>306</v>
      </c>
      <c s="820"/>
      <c s="299" t="s">
        <v>701</v>
      </c>
      <c s="1626"/>
      <c r="P12" s="1633"/>
      <c r="W12" s="1633">
        <v>46</v>
      </c>
    </row>
    <row r="13" spans="5:23" ht="14.7" customHeight="1">
      <c r="E13" s="345"/>
      <c r="H13" s="378"/>
      <c s="349"/>
      <c s="653" t="s">
        <v>702</v>
      </c>
      <c s="573"/>
      <c s="216"/>
      <c s="299"/>
      <c r="W13" s="1633">
        <v>14</v>
      </c>
    </row>
    <row r="14" spans="5:23" ht="14.7" customHeight="1">
      <c r="E14" s="345"/>
      <c r="H14" s="378"/>
      <c s="1059"/>
      <c s="1679"/>
      <c s="1680"/>
      <c s="1681"/>
      <c s="2030"/>
      <c r="W14" s="1633">
        <v>14</v>
      </c>
    </row>
    <row r="15" spans="9:23" ht="14.7" customHeight="1">
      <c r="I15" s="1683"/>
      <c s="2387"/>
      <c s="2387"/>
      <c s="2387"/>
      <c s="2387"/>
      <c r="W15" s="1633">
        <v>14</v>
      </c>
    </row>
    <row r="16" spans="1:23" ht="21" customHeight="1" hidden="1">
      <c r="A16" s="2032" t="s">
        <v>81</v>
      </c>
      <c s="1633">
        <v>9</v>
      </c>
      <c s="1633">
        <v>9</v>
      </c>
      <c s="1633">
        <v>9</v>
      </c>
      <c s="2032" t="s">
        <v>150</v>
      </c>
      <c s="2057" t="s">
        <v>150</v>
      </c>
      <c s="2059"/>
      <c s="346">
        <v>3</v>
      </c>
      <c s="1633">
        <v>6</v>
      </c>
      <c s="1633">
        <v>63</v>
      </c>
      <c s="1633">
        <v>9</v>
      </c>
      <c s="1633">
        <v>39</v>
      </c>
      <c s="1633">
        <v>89</v>
      </c>
      <c s="1633">
        <v>10</v>
      </c>
      <c s="1626">
        <v>10</v>
      </c>
      <c s="1626">
        <v>10</v>
      </c>
      <c s="1633">
        <v>10</v>
      </c>
      <c s="1633">
        <v>10</v>
      </c>
      <c s="1633">
        <v>10</v>
      </c>
      <c s="1633">
        <v>10</v>
      </c>
      <c s="1633">
        <v>10</v>
      </c>
      <c s="1633">
        <v>10</v>
      </c>
      <c s="163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J2 M10">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623F5AC-F3AD-EB3C-067A-0.22A14739}" mc:Ignorable="x14ac xr xr2 xr3">
  <sheetPr>
    <tabColor theme="9" tint="-0.249980002641678"/>
  </sheetPr>
  <dimension ref="A1:AF217"/>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6" style="1637" customWidth="1"/>
    <col min="7" max="7" width="10" style="1637" customWidth="1"/>
    <col min="8" max="8" width="40.7142857142857" style="1637" hidden="1" customWidth="1"/>
    <col min="9" max="9" width="40" style="1637" customWidth="1"/>
    <col min="10" max="10" width="102" style="1637" customWidth="1"/>
    <col min="11" max="11" width="9" style="1368" customWidth="1"/>
    <col min="12" max="12" width="5" style="1644" customWidth="1"/>
    <col min="13" max="13" width="3" style="1644" customWidth="1"/>
    <col min="14" max="17" width="3" style="1368" customWidth="1"/>
    <col min="18" max="18" width="10" style="1644" customWidth="1"/>
    <col min="19" max="19" width="34" style="1368" customWidth="1"/>
    <col min="20" max="20" width="9" style="1368" customWidth="1"/>
    <col min="21" max="21" width="8" style="738" customWidth="1"/>
    <col min="22" max="26" width="8" style="1368" customWidth="1"/>
    <col min="27" max="31" width="8" style="1634" customWidth="1"/>
    <col min="32" max="32" width="10.4285714285714" style="1637" hidden="1" customWidth="1"/>
  </cols>
  <sheetData>
    <row r="1" spans="1:32" s="1368" customFormat="1" ht="22.5" customHeight="1" hidden="1">
      <c r="A1" s="989"/>
      <c r="C1" s="1638"/>
      <c s="539"/>
      <c r="H1" s="1162">
        <v>4</v>
      </c>
      <c s="1162">
        <v>4</v>
      </c>
      <c r="L1" s="1638"/>
      <c s="1638"/>
      <c r="R1" s="1638"/>
      <c r="AF1" s="1162" t="s">
        <v>14</v>
      </c>
    </row>
    <row r="2" spans="1:32" s="1368" customFormat="1" ht="22.5" customHeight="1" hidden="1">
      <c r="A2" s="989"/>
      <c r="C2" s="1638"/>
      <c s="540"/>
      <c s="1639"/>
      <c s="542"/>
      <c s="1641" t="s">
        <v>552</v>
      </c>
      <c s="543"/>
      <c s="543"/>
      <c s="544" t="s">
        <v>703</v>
      </c>
      <c s="545"/>
      <c s="1638"/>
      <c s="1638"/>
      <c r="R2" s="1638"/>
      <c r="U2" s="546"/>
      <c r="AA2" s="1634"/>
      <c s="1634"/>
      <c s="1634"/>
      <c s="1634"/>
      <c s="1634"/>
      <c s="1162">
        <v>0</v>
      </c>
    </row>
    <row r="3" spans="32:32" ht="11.25" customHeight="1" hidden="1">
      <c r="AF3" s="1633">
        <v>0</v>
      </c>
    </row>
    <row r="4" spans="1:32" s="1634" customFormat="1" ht="11.25" customHeight="1" hidden="1">
      <c r="A4" s="989"/>
      <c s="1162"/>
      <c s="1638"/>
      <c s="364"/>
      <c r="J4" s="1634">
        <v>4</v>
      </c>
      <c s="1162"/>
      <c s="1638"/>
      <c s="1638"/>
      <c s="1162"/>
      <c s="1162"/>
      <c s="1162"/>
      <c s="1162"/>
      <c s="1638"/>
      <c s="1162"/>
      <c s="1162"/>
      <c s="546"/>
      <c s="1162"/>
      <c s="1162"/>
      <c s="1162"/>
      <c s="1162"/>
      <c s="1162"/>
      <c r="AF4" s="1634">
        <v>0</v>
      </c>
    </row>
    <row r="5" spans="32:32" ht="11.55" customHeight="1">
      <c r="AF5" s="1633">
        <v>11</v>
      </c>
    </row>
    <row r="6" spans="5:32" ht="31.5" customHeight="1">
      <c r="E6" s="2309" t="s">
        <v>704</v>
      </c>
      <c s="2309"/>
      <c s="2309"/>
      <c s="2309"/>
      <c s="2309"/>
      <c s="558"/>
      <c r="AF6" s="1633">
        <v>30</v>
      </c>
    </row>
    <row r="7" spans="5:32" ht="11.55" customHeight="1">
      <c r="E7" s="2251" t="str">
        <f>IF(org=0,"Не определено",org)</f>
        <v>ГУП КК "Кубаньводкомплекс"</v>
      </c>
      <c s="2251"/>
      <c s="2251"/>
      <c s="2251"/>
      <c s="2251"/>
      <c r="AF7" s="1633">
        <v>11</v>
      </c>
    </row>
    <row r="8" spans="5:32" ht="11.55" customHeight="1">
      <c r="E8" s="1137"/>
      <c s="1137"/>
      <c s="1137"/>
      <c s="1137"/>
      <c s="1137"/>
      <c r="AF8" s="1633">
        <v>11</v>
      </c>
    </row>
    <row r="9" spans="1:32" s="1644" customFormat="1" ht="4.2" customHeight="1">
      <c r="A9" s="1169"/>
      <c r="D9" s="1644"/>
      <c r="H9" s="891"/>
      <c s="891" t="s">
        <v>118</v>
      </c>
      <c r="AF9" s="1638">
        <v>4</v>
      </c>
    </row>
    <row r="10" spans="5:32" ht="11.55" customHeight="1">
      <c r="E10" s="713"/>
      <c s="2369" t="s">
        <v>105</v>
      </c>
      <c s="2370"/>
      <c s="1554" t="str">
        <f>IF(H9="","",INDEX(DIFFERENTIATION_UNMERGE_VD,MATCH(H9,DIFFERENTIATION_ID_DIFF,0)))</f>
        <v/>
      </c>
      <c s="1554"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s="2129"/>
      <c r="AF10" s="1633">
        <v>11</v>
      </c>
    </row>
    <row r="11" spans="5:32" ht="11.55" customHeight="1">
      <c r="E11" s="713"/>
      <c s="2369" t="s">
        <v>564</v>
      </c>
      <c s="2370"/>
      <c s="1554" t="str">
        <f>IF(H9="","",INDEX(DIFFERENTIATION_UNMERGE_AREA,MATCH(H9,DIFFERENTIATION_ID_DIFF,0)))</f>
        <v/>
      </c>
      <c s="1554" t="str">
        <f>IF(I9="","",INDEX(DIFFERENTIATION_UNMERGE_AREA,MATCH(I9,DIFFERENTIATION_ID_DIFF,0)))</f>
        <v>Территория 1</v>
      </c>
      <c s="2129"/>
      <c r="AF11" s="1633">
        <v>11</v>
      </c>
    </row>
    <row r="12" spans="5:32" ht="1.05" customHeight="1">
      <c r="E12" s="1664"/>
      <c s="2392" t="s">
        <v>565</v>
      </c>
      <c s="2393"/>
      <c s="1665" t="str">
        <f>IF(H9="","",INDEX(DIFFERENTIATION_UNMERGE_SYSTEM,MATCH(H9,DIFFERENTIATION_ID_DIFF,0)))</f>
        <v/>
      </c>
      <c s="1665" t="str">
        <f>IF(I9="","",INDEX(DIFFERENTIATION_UNMERGE_SYSTEM,MATCH(I9,DIFFERENTIATION_ID_DIFF,0)))</f>
        <v>Ейский групповой водопровод (разводящие сети водоотведения)</v>
      </c>
      <c s="2129"/>
      <c r="AF12" s="1633">
        <v>1</v>
      </c>
    </row>
    <row r="13" spans="5:32" ht="11.55" customHeight="1">
      <c r="E13" s="2371" t="s">
        <v>300</v>
      </c>
      <c s="2372"/>
      <c s="2372"/>
      <c s="1553"/>
      <c s="1553"/>
      <c s="2129"/>
      <c r="AF13" s="1633">
        <v>11</v>
      </c>
    </row>
    <row r="14" spans="5:32" ht="24" customHeight="1">
      <c r="E14" s="1641" t="s">
        <v>87</v>
      </c>
      <c s="1636" t="s">
        <v>302</v>
      </c>
      <c s="1636" t="s">
        <v>566</v>
      </c>
      <c s="1636" t="s">
        <v>303</v>
      </c>
      <c s="1636" t="s">
        <v>303</v>
      </c>
      <c s="2129"/>
      <c r="AF14" s="1633">
        <v>23</v>
      </c>
    </row>
    <row r="15" spans="4:32" ht="19.95" customHeight="1">
      <c r="D15" s="1640"/>
      <c s="1632" t="s">
        <v>109</v>
      </c>
      <c s="709" t="s">
        <v>705</v>
      </c>
      <c s="1648" t="s">
        <v>552</v>
      </c>
      <c s="559"/>
      <c s="559"/>
      <c s="291" t="s">
        <v>706</v>
      </c>
      <c s="545" t="s">
        <v>630</v>
      </c>
      <c r="AF15" s="1633">
        <v>19</v>
      </c>
    </row>
    <row r="16" spans="4:32" ht="35.7" customHeight="1">
      <c r="D16" s="1640"/>
      <c s="1632" t="s">
        <v>110</v>
      </c>
      <c s="709" t="s">
        <v>707</v>
      </c>
      <c s="1648" t="s">
        <v>552</v>
      </c>
      <c s="560">
        <f>SUM(H17,H20:H32)</f>
        <v>0</v>
      </c>
      <c s="560">
        <f>SUM(I17,I20,I23,I26,I29:I32)</f>
        <v>0</v>
      </c>
      <c s="291" t="s">
        <v>708</v>
      </c>
      <c s="545" t="s">
        <v>630</v>
      </c>
      <c r="AF16" s="1633">
        <v>34</v>
      </c>
    </row>
    <row r="17" spans="4:32" ht="19.95" customHeight="1">
      <c r="D17" s="1640"/>
      <c s="1666" t="s">
        <v>709</v>
      </c>
      <c s="956" t="s">
        <v>710</v>
      </c>
      <c s="1645" t="s">
        <v>552</v>
      </c>
      <c s="559"/>
      <c s="559"/>
      <c s="291" t="s">
        <v>711</v>
      </c>
      <c s="545"/>
      <c r="AF17" s="1633">
        <v>19</v>
      </c>
    </row>
    <row r="18" spans="4:32" ht="24" customHeight="1">
      <c r="D18" s="1640"/>
      <c s="1666" t="s">
        <v>712</v>
      </c>
      <c s="1652" t="s">
        <v>713</v>
      </c>
      <c s="1645" t="s">
        <v>552</v>
      </c>
      <c s="559"/>
      <c s="559"/>
      <c s="291" t="s">
        <v>714</v>
      </c>
      <c s="545"/>
      <c r="AF18" s="1633">
        <v>23</v>
      </c>
    </row>
    <row r="19" spans="4:32" ht="35.7" customHeight="1">
      <c r="D19" s="1640"/>
      <c s="1666" t="s">
        <v>715</v>
      </c>
      <c s="1652" t="s">
        <v>716</v>
      </c>
      <c s="1645" t="s">
        <v>552</v>
      </c>
      <c s="559"/>
      <c s="559"/>
      <c s="291"/>
      <c s="545"/>
      <c r="AF19" s="1633">
        <v>34</v>
      </c>
    </row>
    <row r="20" spans="4:32" ht="19.95" customHeight="1">
      <c r="D20" s="1640"/>
      <c s="1666" t="s">
        <v>307</v>
      </c>
      <c s="956" t="s">
        <v>717</v>
      </c>
      <c s="1645" t="s">
        <v>552</v>
      </c>
      <c s="559"/>
      <c s="559"/>
      <c s="291" t="s">
        <v>718</v>
      </c>
      <c s="545"/>
      <c r="AF20" s="1633">
        <v>19</v>
      </c>
    </row>
    <row r="21" spans="4:32" ht="19.95" customHeight="1">
      <c r="D21" s="1640"/>
      <c s="1666" t="s">
        <v>719</v>
      </c>
      <c s="1652" t="s">
        <v>720</v>
      </c>
      <c s="1645" t="s">
        <v>552</v>
      </c>
      <c s="559"/>
      <c s="559"/>
      <c s="291"/>
      <c s="545"/>
      <c r="AF21" s="1633">
        <v>19</v>
      </c>
    </row>
    <row r="22" spans="4:32" ht="19.95" customHeight="1">
      <c r="D22" s="1640"/>
      <c s="1666" t="s">
        <v>721</v>
      </c>
      <c s="1652" t="s">
        <v>722</v>
      </c>
      <c s="1645" t="s">
        <v>552</v>
      </c>
      <c s="559"/>
      <c s="559"/>
      <c s="291"/>
      <c s="545"/>
      <c r="AF22" s="1633">
        <v>19</v>
      </c>
    </row>
    <row r="23" spans="4:32" ht="24" customHeight="1">
      <c r="D23" s="1640"/>
      <c s="1666" t="s">
        <v>310</v>
      </c>
      <c s="956" t="s">
        <v>723</v>
      </c>
      <c s="1645" t="s">
        <v>552</v>
      </c>
      <c s="559"/>
      <c s="559"/>
      <c s="291" t="s">
        <v>724</v>
      </c>
      <c s="545"/>
      <c r="AF23" s="1633">
        <v>23</v>
      </c>
    </row>
    <row r="24" spans="4:32" ht="19.95" customHeight="1">
      <c r="D24" s="1640"/>
      <c s="1666" t="s">
        <v>725</v>
      </c>
      <c s="1652" t="s">
        <v>726</v>
      </c>
      <c s="1645" t="s">
        <v>552</v>
      </c>
      <c s="559"/>
      <c s="559"/>
      <c s="291"/>
      <c s="545"/>
      <c r="AF24" s="1633">
        <v>19</v>
      </c>
    </row>
    <row r="25" spans="4:32" ht="35.7" customHeight="1">
      <c r="D25" s="1640"/>
      <c s="1666" t="s">
        <v>727</v>
      </c>
      <c s="1652" t="s">
        <v>728</v>
      </c>
      <c s="1645" t="s">
        <v>552</v>
      </c>
      <c s="559"/>
      <c s="559"/>
      <c s="291"/>
      <c s="545"/>
      <c r="AF25" s="1633">
        <v>34</v>
      </c>
    </row>
    <row r="26" spans="4:32" ht="24" customHeight="1">
      <c r="D26" s="1640"/>
      <c s="1666" t="s">
        <v>729</v>
      </c>
      <c s="956" t="s">
        <v>730</v>
      </c>
      <c s="1645" t="s">
        <v>552</v>
      </c>
      <c s="559"/>
      <c s="559"/>
      <c s="291" t="s">
        <v>731</v>
      </c>
      <c s="545"/>
      <c r="AF26" s="1633">
        <v>23</v>
      </c>
    </row>
    <row r="27" spans="4:32" ht="19.95" customHeight="1">
      <c r="D27" s="1640"/>
      <c s="1677" t="s">
        <v>732</v>
      </c>
      <c s="1652" t="s">
        <v>733</v>
      </c>
      <c s="1656" t="s">
        <v>552</v>
      </c>
      <c s="1678"/>
      <c s="1678"/>
      <c s="291"/>
      <c s="545"/>
      <c r="AF27" s="1633">
        <v>19</v>
      </c>
    </row>
    <row r="28" spans="4:32" ht="19.95" customHeight="1">
      <c r="D28" s="1640"/>
      <c s="1677" t="s">
        <v>734</v>
      </c>
      <c s="1652" t="s">
        <v>735</v>
      </c>
      <c s="1656" t="s">
        <v>552</v>
      </c>
      <c s="1678"/>
      <c s="1678"/>
      <c s="291"/>
      <c s="545"/>
      <c r="AF28" s="1633">
        <v>19</v>
      </c>
    </row>
    <row r="29" spans="4:32" ht="19.95" customHeight="1">
      <c r="D29" s="1640"/>
      <c s="1677" t="s">
        <v>736</v>
      </c>
      <c s="956" t="s">
        <v>737</v>
      </c>
      <c s="1656" t="s">
        <v>552</v>
      </c>
      <c s="1678"/>
      <c s="1678"/>
      <c s="291"/>
      <c s="545"/>
      <c r="AF29" s="1633">
        <v>19</v>
      </c>
    </row>
    <row r="30" spans="4:32" ht="19.95" customHeight="1">
      <c r="D30" s="1640"/>
      <c s="1677" t="s">
        <v>738</v>
      </c>
      <c s="956" t="s">
        <v>739</v>
      </c>
      <c s="1656" t="s">
        <v>552</v>
      </c>
      <c s="1678"/>
      <c s="1678"/>
      <c s="291"/>
      <c s="545"/>
      <c r="AF30" s="1633">
        <v>19</v>
      </c>
    </row>
    <row r="31" spans="4:32" ht="19.95" customHeight="1">
      <c r="D31" s="1640"/>
      <c s="1677" t="s">
        <v>740</v>
      </c>
      <c s="956" t="s">
        <v>741</v>
      </c>
      <c s="1656" t="s">
        <v>552</v>
      </c>
      <c s="1678"/>
      <c s="1678"/>
      <c s="291"/>
      <c s="545"/>
      <c r="AF31" s="1633">
        <v>19</v>
      </c>
    </row>
    <row r="32" spans="1:32" s="1368" customFormat="1" ht="35.7" customHeight="1">
      <c r="A32" s="989"/>
      <c r="C32" s="1638"/>
      <c s="1640"/>
      <c s="1677" t="s">
        <v>742</v>
      </c>
      <c s="956" t="s">
        <v>743</v>
      </c>
      <c s="1646" t="s">
        <v>552</v>
      </c>
      <c s="581">
        <f>SUM(H33:H34)</f>
        <v>0</v>
      </c>
      <c s="581">
        <f>SUM(I33:I34)</f>
        <v>0</v>
      </c>
      <c s="291" t="s">
        <v>744</v>
      </c>
      <c s="545"/>
      <c s="1638"/>
      <c s="1638"/>
      <c r="R32" s="1638"/>
      <c r="U32" s="546"/>
      <c r="AA32" s="1634"/>
      <c s="1634"/>
      <c s="1634"/>
      <c s="1634"/>
      <c s="1634"/>
      <c s="1162">
        <v>34</v>
      </c>
    </row>
    <row r="33" spans="1:32" s="1644" customFormat="1" ht="1.05" customHeight="1">
      <c r="A33" s="1169"/>
      <c r="D33" s="550"/>
      <c s="804" t="str">
        <f>E32&amp;".0"</f>
        <v>2.8.0</v>
      </c>
      <c s="993"/>
      <c s="553"/>
      <c s="994"/>
      <c s="994"/>
      <c s="995"/>
      <c r="AF33" s="1638">
        <v>1</v>
      </c>
    </row>
    <row r="34" spans="1:32" s="1368" customFormat="1" ht="19.95" customHeight="1">
      <c r="A34" s="989"/>
      <c r="C34" s="1638"/>
      <c s="1635"/>
      <c s="572"/>
      <c s="1668" t="s">
        <v>577</v>
      </c>
      <c s="574"/>
      <c s="575"/>
      <c s="575"/>
      <c s="303" t="s">
        <v>745</v>
      </c>
      <c s="545"/>
      <c s="1638"/>
      <c s="1638"/>
      <c r="R34" s="1638"/>
      <c r="U34" s="546"/>
      <c r="AA34" s="1634"/>
      <c s="1634"/>
      <c s="1634"/>
      <c s="1634"/>
      <c s="1634"/>
      <c s="1162">
        <v>19</v>
      </c>
    </row>
    <row r="35" spans="4:32" ht="60" customHeight="1">
      <c r="D35" s="1640"/>
      <c s="1677" t="s">
        <v>746</v>
      </c>
      <c s="956" t="s">
        <v>747</v>
      </c>
      <c s="1656" t="s">
        <v>552</v>
      </c>
      <c s="1678"/>
      <c s="1678"/>
      <c s="291" t="s">
        <v>748</v>
      </c>
      <c s="545"/>
      <c r="AF35" s="1633">
        <v>57</v>
      </c>
    </row>
    <row r="36" spans="1:32" s="1368" customFormat="1" ht="24" customHeight="1">
      <c r="A36" s="991" t="s">
        <v>578</v>
      </c>
      <c r="C36" s="1638"/>
      <c s="1640"/>
      <c s="1666" t="s">
        <v>89</v>
      </c>
      <c s="709" t="s">
        <v>749</v>
      </c>
      <c s="1645" t="s">
        <v>552</v>
      </c>
      <c s="559"/>
      <c s="559"/>
      <c s="291" t="s">
        <v>750</v>
      </c>
      <c s="545"/>
      <c s="1638"/>
      <c s="1638"/>
      <c r="R36" s="1638"/>
      <c r="U36" s="546"/>
      <c r="AA36" s="1634"/>
      <c s="1634"/>
      <c s="1634"/>
      <c s="1634"/>
      <c s="1634"/>
      <c s="1162">
        <v>23</v>
      </c>
    </row>
    <row r="37" spans="1:32" s="1368" customFormat="1" ht="35.7" customHeight="1">
      <c r="A37" s="991"/>
      <c r="C37" s="1638"/>
      <c s="1640"/>
      <c s="1666" t="s">
        <v>324</v>
      </c>
      <c s="956" t="s">
        <v>751</v>
      </c>
      <c s="1656"/>
      <c s="559"/>
      <c s="559"/>
      <c s="291"/>
      <c s="545"/>
      <c s="1638"/>
      <c s="1638"/>
      <c r="R37" s="1638"/>
      <c r="U37" s="546"/>
      <c r="AA37" s="1634"/>
      <c s="1634"/>
      <c s="1634"/>
      <c s="1634"/>
      <c s="1634"/>
      <c s="1162">
        <v>34</v>
      </c>
    </row>
    <row r="38" spans="1:32" s="1368" customFormat="1" ht="19.95" customHeight="1">
      <c r="A38" s="989"/>
      <c r="C38" s="1638"/>
      <c s="577"/>
      <c s="1666" t="s">
        <v>90</v>
      </c>
      <c s="709" t="s">
        <v>752</v>
      </c>
      <c s="1645" t="s">
        <v>552</v>
      </c>
      <c s="559"/>
      <c s="559"/>
      <c s="291" t="s">
        <v>753</v>
      </c>
      <c s="545"/>
      <c s="1638"/>
      <c s="1638"/>
      <c r="R38" s="1638"/>
      <c r="U38" s="546"/>
      <c r="AA38" s="1634"/>
      <c s="1634"/>
      <c s="1634"/>
      <c s="1634"/>
      <c s="1634"/>
      <c s="1162">
        <v>19</v>
      </c>
    </row>
    <row r="39" spans="1:32" s="1368" customFormat="1" ht="24" customHeight="1">
      <c r="A39" s="989"/>
      <c r="C39" s="1638"/>
      <c s="577"/>
      <c s="1666" t="s">
        <v>754</v>
      </c>
      <c s="956" t="s">
        <v>755</v>
      </c>
      <c s="1656" t="s">
        <v>552</v>
      </c>
      <c s="559"/>
      <c s="559"/>
      <c s="291" t="s">
        <v>756</v>
      </c>
      <c s="545"/>
      <c s="1638"/>
      <c s="1638"/>
      <c r="R39" s="1638"/>
      <c r="U39" s="546"/>
      <c r="AA39" s="1634"/>
      <c s="1634"/>
      <c s="1634"/>
      <c s="1634"/>
      <c s="1634"/>
      <c s="1162">
        <v>23</v>
      </c>
    </row>
    <row r="40" spans="1:32" s="1368" customFormat="1" ht="24" customHeight="1">
      <c r="A40" s="989"/>
      <c r="C40" s="1638"/>
      <c s="1640"/>
      <c s="1666" t="s">
        <v>757</v>
      </c>
      <c s="1652" t="s">
        <v>758</v>
      </c>
      <c s="1645" t="s">
        <v>552</v>
      </c>
      <c s="559"/>
      <c s="559"/>
      <c s="291" t="s">
        <v>759</v>
      </c>
      <c s="545"/>
      <c s="1638"/>
      <c s="1638"/>
      <c r="R40" s="1638"/>
      <c r="U40" s="546"/>
      <c r="AA40" s="1634"/>
      <c s="1634"/>
      <c s="1634"/>
      <c s="1634"/>
      <c s="1634"/>
      <c s="1162">
        <v>23</v>
      </c>
    </row>
    <row r="41" spans="1:32" s="1368" customFormat="1" ht="24" customHeight="1">
      <c r="A41" s="989"/>
      <c r="C41" s="1638"/>
      <c s="1640"/>
      <c s="1666" t="s">
        <v>760</v>
      </c>
      <c s="1652" t="s">
        <v>761</v>
      </c>
      <c s="1645" t="s">
        <v>552</v>
      </c>
      <c s="559"/>
      <c s="559"/>
      <c s="291" t="s">
        <v>762</v>
      </c>
      <c s="545"/>
      <c s="1638"/>
      <c s="1638"/>
      <c r="R41" s="1638"/>
      <c r="U41" s="546"/>
      <c r="AA41" s="1634"/>
      <c s="1634"/>
      <c s="1634"/>
      <c s="1634"/>
      <c s="1634"/>
      <c s="1162">
        <v>23</v>
      </c>
    </row>
    <row r="42" spans="1:32" s="1368" customFormat="1" ht="24" customHeight="1">
      <c r="A42" s="989"/>
      <c r="C42" s="1638"/>
      <c s="1640"/>
      <c s="1666" t="s">
        <v>763</v>
      </c>
      <c s="1652" t="s">
        <v>764</v>
      </c>
      <c s="1645" t="s">
        <v>552</v>
      </c>
      <c s="559"/>
      <c s="559"/>
      <c s="291" t="s">
        <v>765</v>
      </c>
      <c s="545"/>
      <c s="1638"/>
      <c s="1638"/>
      <c r="R42" s="1638"/>
      <c r="U42" s="546"/>
      <c r="AA42" s="1634"/>
      <c s="1634"/>
      <c s="1634"/>
      <c s="1634"/>
      <c s="1634"/>
      <c s="1162">
        <v>23</v>
      </c>
    </row>
    <row r="43" spans="1:32" s="1368" customFormat="1" ht="35.7" customHeight="1">
      <c r="A43" s="989"/>
      <c r="C43" s="1638" t="s">
        <v>588</v>
      </c>
      <c s="1640"/>
      <c s="1666" t="s">
        <v>111</v>
      </c>
      <c s="709" t="s">
        <v>629</v>
      </c>
      <c s="1648" t="s">
        <v>766</v>
      </c>
      <c s="403"/>
      <c s="403"/>
      <c s="291" t="s">
        <v>767</v>
      </c>
      <c s="545"/>
      <c s="1638"/>
      <c s="1638"/>
      <c r="R43" s="1638"/>
      <c r="U43" s="546"/>
      <c r="AA43" s="1634"/>
      <c s="1634"/>
      <c s="1634"/>
      <c s="1634"/>
      <c s="1634"/>
      <c s="1162">
        <v>34</v>
      </c>
    </row>
    <row r="44" spans="1:32" s="1368" customFormat="1" ht="35.7" customHeight="1">
      <c r="A44" s="989"/>
      <c r="C44" s="1638"/>
      <c s="1640"/>
      <c s="1666" t="s">
        <v>91</v>
      </c>
      <c s="709" t="s">
        <v>768</v>
      </c>
      <c s="1645" t="s">
        <v>769</v>
      </c>
      <c s="547"/>
      <c s="547"/>
      <c s="291" t="s">
        <v>770</v>
      </c>
      <c s="545"/>
      <c s="1638"/>
      <c s="1638"/>
      <c r="R44" s="1638"/>
      <c r="U44" s="546"/>
      <c r="AA44" s="1634"/>
      <c s="1634"/>
      <c s="1634"/>
      <c s="1634"/>
      <c s="1634"/>
      <c s="1162">
        <v>34</v>
      </c>
    </row>
    <row r="45" spans="1:32" s="1368" customFormat="1" ht="24" customHeight="1">
      <c r="A45" s="989"/>
      <c r="C45" s="1638"/>
      <c s="1640"/>
      <c s="1666" t="s">
        <v>92</v>
      </c>
      <c s="709" t="s">
        <v>771</v>
      </c>
      <c s="1656" t="s">
        <v>772</v>
      </c>
      <c s="547"/>
      <c s="547"/>
      <c s="291" t="s">
        <v>773</v>
      </c>
      <c s="545"/>
      <c s="1638"/>
      <c s="1638"/>
      <c r="R45" s="1638"/>
      <c r="U45" s="546"/>
      <c r="AA45" s="1634"/>
      <c s="1634"/>
      <c s="1634"/>
      <c s="1634"/>
      <c s="1634"/>
      <c s="1162">
        <v>23</v>
      </c>
    </row>
    <row r="46" spans="1:32" s="1368" customFormat="1" ht="19.95" customHeight="1">
      <c r="A46" s="989"/>
      <c r="C46" s="1638"/>
      <c s="1640"/>
      <c s="1666" t="s">
        <v>112</v>
      </c>
      <c s="709" t="s">
        <v>774</v>
      </c>
      <c s="1645" t="s">
        <v>590</v>
      </c>
      <c s="579"/>
      <c s="579"/>
      <c s="291"/>
      <c s="545"/>
      <c s="1638"/>
      <c s="1638"/>
      <c r="R46" s="1638"/>
      <c r="U46" s="546"/>
      <c r="AA46" s="1634"/>
      <c s="1634"/>
      <c s="1634"/>
      <c s="1634"/>
      <c s="1634"/>
      <c s="1162">
        <v>19</v>
      </c>
    </row>
    <row r="47" spans="4:32" ht="11.55" customHeight="1">
      <c r="D47" s="1640"/>
      <c r="AF47" s="1633">
        <v>11</v>
      </c>
    </row>
    <row r="48" spans="1:32" s="1643" customFormat="1" ht="11.55" customHeight="1">
      <c r="A48" s="989"/>
      <c s="1638"/>
      <c s="1638"/>
      <c s="353"/>
      <c r="K48" s="1162"/>
      <c s="1638"/>
      <c s="1638"/>
      <c s="1162"/>
      <c s="1162"/>
      <c s="1162"/>
      <c s="1162"/>
      <c s="1638"/>
      <c s="1162"/>
      <c s="1162"/>
      <c s="546"/>
      <c s="1162"/>
      <c s="1162"/>
      <c s="1162"/>
      <c s="1162"/>
      <c s="1162"/>
      <c s="1634"/>
      <c s="568"/>
      <c s="568"/>
      <c s="568"/>
      <c s="568"/>
      <c s="1643">
        <v>11</v>
      </c>
    </row>
    <row r="49" spans="1:32" s="1643" customFormat="1" ht="11.55" customHeight="1">
      <c r="A49" s="989"/>
      <c s="1638"/>
      <c s="1638"/>
      <c s="353"/>
      <c r="K49" s="1162"/>
      <c s="1638"/>
      <c s="1638"/>
      <c s="1162"/>
      <c s="1162"/>
      <c s="1162"/>
      <c s="1162"/>
      <c s="1638"/>
      <c s="1162"/>
      <c s="1162"/>
      <c s="546"/>
      <c s="1162"/>
      <c s="1162"/>
      <c s="1162"/>
      <c s="1162"/>
      <c s="1162"/>
      <c s="1634"/>
      <c s="568"/>
      <c s="568"/>
      <c s="568"/>
      <c s="568"/>
      <c s="1643">
        <v>11</v>
      </c>
    </row>
    <row r="50" spans="1:32" s="1643" customFormat="1" ht="11.55" customHeight="1">
      <c r="A50" s="989"/>
      <c s="1638"/>
      <c s="1638"/>
      <c s="353"/>
      <c r="H50" s="568"/>
      <c s="568"/>
      <c r="K50" s="1162"/>
      <c s="1638"/>
      <c s="1638"/>
      <c s="1162"/>
      <c s="1162"/>
      <c s="1162"/>
      <c s="1162"/>
      <c s="1638"/>
      <c s="1162"/>
      <c s="1162"/>
      <c s="546"/>
      <c s="1162"/>
      <c s="1162"/>
      <c s="1162"/>
      <c s="1162"/>
      <c s="1162"/>
      <c s="1634"/>
      <c s="568"/>
      <c s="568"/>
      <c s="568"/>
      <c s="568"/>
      <c s="1643">
        <v>11</v>
      </c>
    </row>
    <row r="51" spans="1:32" s="1643" customFormat="1" ht="11.55" customHeight="1">
      <c r="A51" s="989"/>
      <c s="1638"/>
      <c s="1638"/>
      <c s="353"/>
      <c r="K51" s="1162"/>
      <c s="1638"/>
      <c s="1638"/>
      <c s="1162"/>
      <c s="1162"/>
      <c s="1162"/>
      <c s="1162"/>
      <c s="1638"/>
      <c s="1162"/>
      <c s="1162"/>
      <c s="546"/>
      <c s="1162"/>
      <c s="1162"/>
      <c s="1162"/>
      <c s="1162"/>
      <c s="1162"/>
      <c s="1634"/>
      <c s="568"/>
      <c s="568"/>
      <c s="568"/>
      <c s="568"/>
      <c s="1643">
        <v>11</v>
      </c>
    </row>
    <row r="52" spans="1:32" s="1643" customFormat="1" ht="11.55" customHeight="1">
      <c r="A52" s="989"/>
      <c s="1638"/>
      <c s="1638"/>
      <c s="353"/>
      <c r="K52" s="1162"/>
      <c s="1638"/>
      <c s="1638"/>
      <c s="1162"/>
      <c s="1162"/>
      <c s="1162"/>
      <c s="1162"/>
      <c s="1638"/>
      <c s="1162"/>
      <c s="1162"/>
      <c s="546"/>
      <c s="1162"/>
      <c s="1162"/>
      <c s="1162"/>
      <c s="1162"/>
      <c s="1162"/>
      <c s="1634"/>
      <c s="568"/>
      <c s="568"/>
      <c s="568"/>
      <c s="568"/>
      <c s="1643">
        <v>11</v>
      </c>
    </row>
    <row r="53" spans="1:32" s="1643" customFormat="1" ht="11.55" customHeight="1">
      <c r="A53" s="989"/>
      <c s="1638"/>
      <c s="1638"/>
      <c s="353"/>
      <c r="K53" s="1162"/>
      <c s="1638"/>
      <c s="1638"/>
      <c s="1162"/>
      <c s="1162"/>
      <c s="1162"/>
      <c s="1162"/>
      <c s="1638"/>
      <c s="1162"/>
      <c s="1162"/>
      <c s="546"/>
      <c s="1162"/>
      <c s="1162"/>
      <c s="1162"/>
      <c s="1162"/>
      <c s="1162"/>
      <c s="1634"/>
      <c s="568"/>
      <c s="568"/>
      <c s="568"/>
      <c s="568"/>
      <c s="1643">
        <v>11</v>
      </c>
    </row>
    <row r="54" spans="1:32" s="1643" customFormat="1" ht="11.55" customHeight="1">
      <c r="A54" s="989"/>
      <c s="1638"/>
      <c s="1638"/>
      <c s="353"/>
      <c r="K54" s="1162"/>
      <c s="1638"/>
      <c s="1638"/>
      <c s="1162"/>
      <c s="1162"/>
      <c s="1162"/>
      <c s="1162"/>
      <c s="1638"/>
      <c s="1162"/>
      <c s="1162"/>
      <c s="546"/>
      <c s="1162"/>
      <c s="1162"/>
      <c s="1162"/>
      <c s="1162"/>
      <c s="1162"/>
      <c s="1634"/>
      <c s="568"/>
      <c s="568"/>
      <c s="568"/>
      <c s="568"/>
      <c s="1643">
        <v>11</v>
      </c>
    </row>
    <row r="55" spans="1:32" s="1643" customFormat="1" ht="11.55" customHeight="1">
      <c r="A55" s="989"/>
      <c s="1638"/>
      <c s="1638"/>
      <c s="353"/>
      <c r="K55" s="1162"/>
      <c s="1638"/>
      <c s="1638"/>
      <c s="1162"/>
      <c s="1162"/>
      <c s="1162"/>
      <c s="1162"/>
      <c s="1638"/>
      <c s="1162"/>
      <c s="1162"/>
      <c s="546"/>
      <c s="1162"/>
      <c s="1162"/>
      <c s="1162"/>
      <c s="1162"/>
      <c s="1162"/>
      <c s="1634"/>
      <c s="568"/>
      <c s="568"/>
      <c s="568"/>
      <c s="568"/>
      <c s="1643">
        <v>11</v>
      </c>
    </row>
    <row r="56" spans="1:32" s="1643" customFormat="1" ht="11.55" customHeight="1">
      <c r="A56" s="989"/>
      <c s="1638"/>
      <c s="1638"/>
      <c s="353"/>
      <c r="K56" s="1162"/>
      <c s="1638"/>
      <c s="1638"/>
      <c s="1162"/>
      <c s="1162"/>
      <c s="1162"/>
      <c s="1162"/>
      <c s="1638"/>
      <c s="1162"/>
      <c s="1162"/>
      <c s="546"/>
      <c s="1162"/>
      <c s="1162"/>
      <c s="1162"/>
      <c s="1162"/>
      <c s="1162"/>
      <c s="1634"/>
      <c s="568"/>
      <c s="568"/>
      <c s="568"/>
      <c s="568"/>
      <c s="1643">
        <v>11</v>
      </c>
    </row>
    <row r="57" spans="1:32" s="1643" customFormat="1" ht="11.55" customHeight="1">
      <c r="A57" s="989"/>
      <c s="1638"/>
      <c s="1638"/>
      <c s="353"/>
      <c r="K57" s="1162"/>
      <c s="1638"/>
      <c s="1638"/>
      <c s="1162"/>
      <c s="1162"/>
      <c s="1162"/>
      <c s="1162"/>
      <c s="1638"/>
      <c s="1162"/>
      <c s="1162"/>
      <c s="546"/>
      <c s="1162"/>
      <c s="1162"/>
      <c s="1162"/>
      <c s="1162"/>
      <c s="1162"/>
      <c s="1634"/>
      <c s="568"/>
      <c s="568"/>
      <c s="568"/>
      <c s="568"/>
      <c s="1643">
        <v>11</v>
      </c>
    </row>
    <row r="58" spans="1:32" s="1643" customFormat="1" ht="11.55" customHeight="1">
      <c r="A58" s="989"/>
      <c s="1638"/>
      <c s="1638"/>
      <c s="353"/>
      <c r="K58" s="1162"/>
      <c s="1638"/>
      <c s="1638"/>
      <c s="1162"/>
      <c s="1162"/>
      <c s="1162"/>
      <c s="1162"/>
      <c s="1638"/>
      <c s="1162"/>
      <c s="1162"/>
      <c s="546"/>
      <c s="1162"/>
      <c s="1162"/>
      <c s="1162"/>
      <c s="1162"/>
      <c s="1162"/>
      <c s="1634"/>
      <c s="568"/>
      <c s="568"/>
      <c s="568"/>
      <c s="568"/>
      <c s="1643">
        <v>11</v>
      </c>
    </row>
    <row r="59" spans="1:32" s="1643" customFormat="1" ht="11.55" customHeight="1">
      <c r="A59" s="989"/>
      <c s="1638"/>
      <c s="1638"/>
      <c s="353"/>
      <c r="K59" s="1162"/>
      <c s="1638"/>
      <c s="1638"/>
      <c s="1162"/>
      <c s="1162"/>
      <c s="1162"/>
      <c s="1162"/>
      <c s="1638"/>
      <c s="1162"/>
      <c s="1162"/>
      <c s="546"/>
      <c s="1162"/>
      <c s="1162"/>
      <c s="1162"/>
      <c s="1162"/>
      <c s="1162"/>
      <c s="1634"/>
      <c s="568"/>
      <c s="568"/>
      <c s="568"/>
      <c s="568"/>
      <c s="1643">
        <v>11</v>
      </c>
    </row>
    <row r="60" spans="1:32" s="1643" customFormat="1" ht="11.55" customHeight="1">
      <c r="A60" s="989"/>
      <c s="1638"/>
      <c s="1638"/>
      <c s="353"/>
      <c r="K60" s="1162"/>
      <c s="1638"/>
      <c s="1638"/>
      <c s="1162"/>
      <c s="1162"/>
      <c s="1162"/>
      <c s="1162"/>
      <c s="1638"/>
      <c s="1162"/>
      <c s="1162"/>
      <c s="546"/>
      <c s="1162"/>
      <c s="1162"/>
      <c s="1162"/>
      <c s="1162"/>
      <c s="1162"/>
      <c s="1634"/>
      <c s="568"/>
      <c s="568"/>
      <c s="568"/>
      <c s="568"/>
      <c s="1643">
        <v>11</v>
      </c>
    </row>
    <row r="61" spans="1:32" s="1643" customFormat="1" ht="11.55" customHeight="1">
      <c r="A61" s="989"/>
      <c s="1638"/>
      <c s="1638"/>
      <c s="353"/>
      <c r="K61" s="1162"/>
      <c s="1638"/>
      <c s="1638"/>
      <c s="1162"/>
      <c s="1162"/>
      <c s="1162"/>
      <c s="1162"/>
      <c s="1638"/>
      <c s="1162"/>
      <c s="1162"/>
      <c s="546"/>
      <c s="1162"/>
      <c s="1162"/>
      <c s="1162"/>
      <c s="1162"/>
      <c s="1162"/>
      <c s="1634"/>
      <c s="568"/>
      <c s="568"/>
      <c s="568"/>
      <c s="568"/>
      <c s="1643">
        <v>11</v>
      </c>
    </row>
    <row r="62" spans="1:32" s="1643" customFormat="1" ht="11.55" customHeight="1">
      <c r="A62" s="989"/>
      <c s="1638"/>
      <c s="1638"/>
      <c s="353"/>
      <c r="K62" s="1162"/>
      <c s="1638"/>
      <c s="1638"/>
      <c s="1162"/>
      <c s="1162"/>
      <c s="1162"/>
      <c s="1162"/>
      <c s="1638"/>
      <c s="1162"/>
      <c s="1162"/>
      <c s="546"/>
      <c s="1162"/>
      <c s="1162"/>
      <c s="1162"/>
      <c s="1162"/>
      <c s="1162"/>
      <c s="1634"/>
      <c s="568"/>
      <c s="568"/>
      <c s="568"/>
      <c s="568"/>
      <c s="1643">
        <v>11</v>
      </c>
    </row>
    <row r="63" spans="1:32" s="1643" customFormat="1" ht="11.55" customHeight="1">
      <c r="A63" s="989"/>
      <c s="1638"/>
      <c s="1638"/>
      <c s="353"/>
      <c r="K63" s="1162"/>
      <c s="1638"/>
      <c s="1638"/>
      <c s="1162"/>
      <c s="1162"/>
      <c s="1162"/>
      <c s="1162"/>
      <c s="1638"/>
      <c s="1162"/>
      <c s="1162"/>
      <c s="546"/>
      <c s="1162"/>
      <c s="1162"/>
      <c s="1162"/>
      <c s="1162"/>
      <c s="1162"/>
      <c s="1634"/>
      <c s="568"/>
      <c s="568"/>
      <c s="568"/>
      <c s="568"/>
      <c s="1643">
        <v>11</v>
      </c>
    </row>
    <row r="64" spans="1:32" s="1643" customFormat="1" ht="11.55" customHeight="1">
      <c r="A64" s="989"/>
      <c s="1638"/>
      <c s="1638"/>
      <c s="353"/>
      <c r="K64" s="1162"/>
      <c s="1638"/>
      <c s="1638"/>
      <c s="1162"/>
      <c s="1162"/>
      <c s="1162"/>
      <c s="1162"/>
      <c s="1638"/>
      <c s="1162"/>
      <c s="1162"/>
      <c s="546"/>
      <c s="1162"/>
      <c s="1162"/>
      <c s="1162"/>
      <c s="1162"/>
      <c s="1162"/>
      <c s="1634"/>
      <c s="568"/>
      <c s="568"/>
      <c s="568"/>
      <c s="568"/>
      <c s="1643">
        <v>11</v>
      </c>
    </row>
    <row r="65" spans="1:32" s="1643" customFormat="1" ht="11.55" customHeight="1">
      <c r="A65" s="989"/>
      <c s="1638"/>
      <c s="1638"/>
      <c s="353"/>
      <c r="K65" s="1162"/>
      <c s="1638"/>
      <c s="1638"/>
      <c s="1162"/>
      <c s="1162"/>
      <c s="1162"/>
      <c s="1162"/>
      <c s="1638"/>
      <c s="1162"/>
      <c s="1162"/>
      <c s="546"/>
      <c s="1162"/>
      <c s="1162"/>
      <c s="1162"/>
      <c s="1162"/>
      <c s="1162"/>
      <c s="1634"/>
      <c s="568"/>
      <c s="568"/>
      <c s="568"/>
      <c s="568"/>
      <c s="1643">
        <v>11</v>
      </c>
    </row>
    <row r="66" spans="1:32" s="1643" customFormat="1" ht="11.55" customHeight="1">
      <c r="A66" s="989"/>
      <c s="1638"/>
      <c s="1638"/>
      <c s="353"/>
      <c r="K66" s="1162"/>
      <c s="1638"/>
      <c s="1638"/>
      <c s="1162"/>
      <c s="1162"/>
      <c s="1162"/>
      <c s="1162"/>
      <c s="1638"/>
      <c s="1162"/>
      <c s="1162"/>
      <c s="546"/>
      <c s="1162"/>
      <c s="1162"/>
      <c s="1162"/>
      <c s="1162"/>
      <c s="1162"/>
      <c s="1634"/>
      <c s="568"/>
      <c s="568"/>
      <c s="568"/>
      <c s="568"/>
      <c s="1643">
        <v>11</v>
      </c>
    </row>
    <row r="67" spans="1:32" s="1643" customFormat="1" ht="11.55" customHeight="1">
      <c r="A67" s="989"/>
      <c s="1638"/>
      <c s="1638"/>
      <c s="353"/>
      <c r="K67" s="1162"/>
      <c s="1638"/>
      <c s="1638"/>
      <c s="1162"/>
      <c s="1162"/>
      <c s="1162"/>
      <c s="1162"/>
      <c s="1638"/>
      <c s="1162"/>
      <c s="1162"/>
      <c s="546"/>
      <c s="1162"/>
      <c s="1162"/>
      <c s="1162"/>
      <c s="1162"/>
      <c s="1162"/>
      <c s="1634"/>
      <c s="568"/>
      <c s="568"/>
      <c s="568"/>
      <c s="568"/>
      <c s="1643">
        <v>11</v>
      </c>
    </row>
    <row r="68" spans="1:32" s="1643" customFormat="1" ht="11.55" customHeight="1">
      <c r="A68" s="989"/>
      <c s="1638"/>
      <c s="1638"/>
      <c s="353"/>
      <c r="K68" s="1162"/>
      <c s="1638"/>
      <c s="1638"/>
      <c s="1162"/>
      <c s="1162"/>
      <c s="1162"/>
      <c s="1162"/>
      <c s="1638"/>
      <c s="1162"/>
      <c s="1162"/>
      <c s="546"/>
      <c s="1162"/>
      <c s="1162"/>
      <c s="1162"/>
      <c s="1162"/>
      <c s="1162"/>
      <c s="1634"/>
      <c s="568"/>
      <c s="568"/>
      <c s="568"/>
      <c s="568"/>
      <c s="1643">
        <v>11</v>
      </c>
    </row>
    <row r="69" spans="1:32" s="1643" customFormat="1" ht="11.55" customHeight="1">
      <c r="A69" s="989"/>
      <c s="1638"/>
      <c s="1638"/>
      <c s="353"/>
      <c r="K69" s="1162"/>
      <c s="1638"/>
      <c s="1638"/>
      <c s="1162"/>
      <c s="1162"/>
      <c s="1162"/>
      <c s="1162"/>
      <c s="1638"/>
      <c s="1162"/>
      <c s="1162"/>
      <c s="546"/>
      <c s="1162"/>
      <c s="1162"/>
      <c s="1162"/>
      <c s="1162"/>
      <c s="1162"/>
      <c s="1634"/>
      <c s="568"/>
      <c s="568"/>
      <c s="568"/>
      <c s="568"/>
      <c s="1643">
        <v>11</v>
      </c>
    </row>
    <row r="70" spans="1:32" s="1643" customFormat="1" ht="11.55" customHeight="1">
      <c r="A70" s="989"/>
      <c s="1638"/>
      <c s="1638"/>
      <c s="353"/>
      <c r="K70" s="1162"/>
      <c s="1638"/>
      <c s="1638"/>
      <c s="1162"/>
      <c s="1162"/>
      <c s="1162"/>
      <c s="1162"/>
      <c s="1638"/>
      <c s="1162"/>
      <c s="1162"/>
      <c s="546"/>
      <c s="1162"/>
      <c s="1162"/>
      <c s="1162"/>
      <c s="1162"/>
      <c s="1162"/>
      <c s="1634"/>
      <c s="568"/>
      <c s="568"/>
      <c s="568"/>
      <c s="568"/>
      <c s="1643">
        <v>11</v>
      </c>
    </row>
    <row r="71" spans="1:32" s="1643" customFormat="1" ht="11.55" customHeight="1">
      <c r="A71" s="989"/>
      <c s="1638"/>
      <c s="1638"/>
      <c s="353"/>
      <c r="K71" s="1162"/>
      <c s="1638"/>
      <c s="1638"/>
      <c s="1162"/>
      <c s="1162"/>
      <c s="1162"/>
      <c s="1162"/>
      <c s="1638"/>
      <c s="1162"/>
      <c s="1162"/>
      <c s="546"/>
      <c s="1162"/>
      <c s="1162"/>
      <c s="1162"/>
      <c s="1162"/>
      <c s="1162"/>
      <c s="1634"/>
      <c s="568"/>
      <c s="568"/>
      <c s="568"/>
      <c s="568"/>
      <c s="1643">
        <v>11</v>
      </c>
    </row>
    <row r="72" spans="1:32" s="1643" customFormat="1" ht="11.55" customHeight="1">
      <c r="A72" s="989"/>
      <c s="1638"/>
      <c s="1638"/>
      <c s="353"/>
      <c r="K72" s="1162"/>
      <c s="1638"/>
      <c s="1638"/>
      <c s="1162"/>
      <c s="1162"/>
      <c s="1162"/>
      <c s="1162"/>
      <c s="1638"/>
      <c s="1162"/>
      <c s="1162"/>
      <c s="546"/>
      <c s="1162"/>
      <c s="1162"/>
      <c s="1162"/>
      <c s="1162"/>
      <c s="1162"/>
      <c s="1634"/>
      <c s="568"/>
      <c s="568"/>
      <c s="568"/>
      <c s="568"/>
      <c s="1643">
        <v>11</v>
      </c>
    </row>
    <row r="73" spans="1:32" s="1643" customFormat="1" ht="11.55" customHeight="1">
      <c r="A73" s="989"/>
      <c s="1638"/>
      <c s="1638"/>
      <c s="353"/>
      <c r="K73" s="1162"/>
      <c s="1638"/>
      <c s="1638"/>
      <c s="1162"/>
      <c s="1162"/>
      <c s="1162"/>
      <c s="1162"/>
      <c s="1638"/>
      <c s="1162"/>
      <c s="1162"/>
      <c s="546"/>
      <c s="1162"/>
      <c s="1162"/>
      <c s="1162"/>
      <c s="1162"/>
      <c s="1162"/>
      <c s="1634"/>
      <c s="568"/>
      <c s="568"/>
      <c s="568"/>
      <c s="568"/>
      <c s="1643">
        <v>11</v>
      </c>
    </row>
    <row r="74" spans="1:32" s="1643" customFormat="1" ht="11.55" customHeight="1">
      <c r="A74" s="989"/>
      <c s="1638"/>
      <c s="1638"/>
      <c s="353"/>
      <c r="K74" s="1162"/>
      <c s="1638"/>
      <c s="1638"/>
      <c s="1162"/>
      <c s="1162"/>
      <c s="1162"/>
      <c s="1162"/>
      <c s="1638"/>
      <c s="1162"/>
      <c s="1162"/>
      <c s="546"/>
      <c s="1162"/>
      <c s="1162"/>
      <c s="1162"/>
      <c s="1162"/>
      <c s="1162"/>
      <c s="1634"/>
      <c s="568"/>
      <c s="568"/>
      <c s="568"/>
      <c s="568"/>
      <c s="1643">
        <v>11</v>
      </c>
    </row>
    <row r="75" spans="1:32" s="1643" customFormat="1" ht="11.55" customHeight="1">
      <c r="A75" s="989"/>
      <c s="1638"/>
      <c s="1638"/>
      <c s="353"/>
      <c r="K75" s="1162"/>
      <c s="1638"/>
      <c s="1638"/>
      <c s="1162"/>
      <c s="1162"/>
      <c s="1162"/>
      <c s="1162"/>
      <c s="1638"/>
      <c s="1162"/>
      <c s="1162"/>
      <c s="546"/>
      <c s="1162"/>
      <c s="1162"/>
      <c s="1162"/>
      <c s="1162"/>
      <c s="1162"/>
      <c s="1634"/>
      <c s="568"/>
      <c s="568"/>
      <c s="568"/>
      <c s="568"/>
      <c s="1643">
        <v>11</v>
      </c>
    </row>
    <row r="76" spans="1:32" s="1643" customFormat="1" ht="11.55" customHeight="1">
      <c r="A76" s="989"/>
      <c s="1638"/>
      <c s="1638"/>
      <c s="353"/>
      <c r="K76" s="1162"/>
      <c s="1638"/>
      <c s="1638"/>
      <c s="1162"/>
      <c s="1162"/>
      <c s="1162"/>
      <c s="1162"/>
      <c s="1638"/>
      <c s="1162"/>
      <c s="1162"/>
      <c s="546"/>
      <c s="1162"/>
      <c s="1162"/>
      <c s="1162"/>
      <c s="1162"/>
      <c s="1162"/>
      <c s="1634"/>
      <c s="568"/>
      <c s="568"/>
      <c s="568"/>
      <c s="568"/>
      <c s="1643">
        <v>11</v>
      </c>
    </row>
    <row r="77" spans="1:32" s="1643" customFormat="1" ht="11.55" customHeight="1">
      <c r="A77" s="989"/>
      <c s="1638"/>
      <c s="1638"/>
      <c s="353"/>
      <c r="K77" s="1162"/>
      <c s="1638"/>
      <c s="1638"/>
      <c s="1162"/>
      <c s="1162"/>
      <c s="1162"/>
      <c s="1162"/>
      <c s="1638"/>
      <c s="1162"/>
      <c s="1162"/>
      <c s="546"/>
      <c s="1162"/>
      <c s="1162"/>
      <c s="1162"/>
      <c s="1162"/>
      <c s="1162"/>
      <c s="1634"/>
      <c s="568"/>
      <c s="568"/>
      <c s="568"/>
      <c s="568"/>
      <c s="1643">
        <v>11</v>
      </c>
    </row>
    <row r="78" spans="1:32" s="1643" customFormat="1" ht="11.55" customHeight="1">
      <c r="A78" s="989"/>
      <c s="1638"/>
      <c s="1638"/>
      <c s="353"/>
      <c r="K78" s="1162"/>
      <c s="1638"/>
      <c s="1638"/>
      <c s="1162"/>
      <c s="1162"/>
      <c s="1162"/>
      <c s="1162"/>
      <c s="1638"/>
      <c s="1162"/>
      <c s="1162"/>
      <c s="546"/>
      <c s="1162"/>
      <c s="1162"/>
      <c s="1162"/>
      <c s="1162"/>
      <c s="1162"/>
      <c s="1634"/>
      <c s="568"/>
      <c s="568"/>
      <c s="568"/>
      <c s="568"/>
      <c s="1643">
        <v>11</v>
      </c>
    </row>
    <row r="79" spans="1:32" s="1643" customFormat="1" ht="11.55" customHeight="1">
      <c r="A79" s="989"/>
      <c s="1638"/>
      <c s="1638"/>
      <c s="353"/>
      <c r="K79" s="1162"/>
      <c s="1638"/>
      <c s="1638"/>
      <c s="1162"/>
      <c s="1162"/>
      <c s="1162"/>
      <c s="1162"/>
      <c s="1638"/>
      <c s="1162"/>
      <c s="1162"/>
      <c s="546"/>
      <c s="1162"/>
      <c s="1162"/>
      <c s="1162"/>
      <c s="1162"/>
      <c s="1162"/>
      <c s="1634"/>
      <c s="568"/>
      <c s="568"/>
      <c s="568"/>
      <c s="568"/>
      <c s="1643">
        <v>11</v>
      </c>
    </row>
    <row r="80" spans="1:32" s="1643" customFormat="1" ht="11.55" customHeight="1">
      <c r="A80" s="989"/>
      <c s="1638"/>
      <c s="1638"/>
      <c s="353"/>
      <c r="K80" s="1162"/>
      <c s="1638"/>
      <c s="1638"/>
      <c s="1162"/>
      <c s="1162"/>
      <c s="1162"/>
      <c s="1162"/>
      <c s="1638"/>
      <c s="1162"/>
      <c s="1162"/>
      <c s="546"/>
      <c s="1162"/>
      <c s="1162"/>
      <c s="1162"/>
      <c s="1162"/>
      <c s="1162"/>
      <c s="1634"/>
      <c s="568"/>
      <c s="568"/>
      <c s="568"/>
      <c s="568"/>
      <c s="1643">
        <v>11</v>
      </c>
    </row>
    <row r="81" spans="1:32" s="1643" customFormat="1" ht="11.55" customHeight="1">
      <c r="A81" s="989"/>
      <c s="1638"/>
      <c s="1638"/>
      <c s="353"/>
      <c r="K81" s="1162"/>
      <c s="1638"/>
      <c s="1638"/>
      <c s="1162"/>
      <c s="1162"/>
      <c s="1162"/>
      <c s="1162"/>
      <c s="1638"/>
      <c s="1162"/>
      <c s="1162"/>
      <c s="546"/>
      <c s="1162"/>
      <c s="1162"/>
      <c s="1162"/>
      <c s="1162"/>
      <c s="1162"/>
      <c s="1634"/>
      <c s="568"/>
      <c s="568"/>
      <c s="568"/>
      <c s="568"/>
      <c s="1643">
        <v>11</v>
      </c>
    </row>
    <row r="82" spans="1:32" s="1643" customFormat="1" ht="11.55" customHeight="1">
      <c r="A82" s="989"/>
      <c s="1638"/>
      <c s="1638"/>
      <c s="353"/>
      <c r="K82" s="1162"/>
      <c s="1638"/>
      <c s="1638"/>
      <c s="1162"/>
      <c s="1162"/>
      <c s="1162"/>
      <c s="1162"/>
      <c s="1638"/>
      <c s="1162"/>
      <c s="1162"/>
      <c s="546"/>
      <c s="1162"/>
      <c s="1162"/>
      <c s="1162"/>
      <c s="1162"/>
      <c s="1162"/>
      <c s="1634"/>
      <c s="568"/>
      <c s="568"/>
      <c s="568"/>
      <c s="568"/>
      <c s="1643">
        <v>11</v>
      </c>
    </row>
    <row r="83" spans="1:32" s="1643" customFormat="1" ht="11.55" customHeight="1">
      <c r="A83" s="989"/>
      <c s="1638"/>
      <c s="1638"/>
      <c s="353"/>
      <c r="K83" s="1162"/>
      <c s="1638"/>
      <c s="1638"/>
      <c s="1162"/>
      <c s="1162"/>
      <c s="1162"/>
      <c s="1162"/>
      <c s="1638"/>
      <c s="1162"/>
      <c s="1162"/>
      <c s="546"/>
      <c s="1162"/>
      <c s="1162"/>
      <c s="1162"/>
      <c s="1162"/>
      <c s="1162"/>
      <c s="1634"/>
      <c s="568"/>
      <c s="568"/>
      <c s="568"/>
      <c s="568"/>
      <c s="1643">
        <v>11</v>
      </c>
    </row>
    <row r="84" spans="1:32" s="1643" customFormat="1" ht="11.55" customHeight="1">
      <c r="A84" s="989"/>
      <c s="1638"/>
      <c s="1638"/>
      <c s="353"/>
      <c r="K84" s="1162"/>
      <c s="1638"/>
      <c s="1638"/>
      <c s="1162"/>
      <c s="1162"/>
      <c s="1162"/>
      <c s="1162"/>
      <c s="1638"/>
      <c s="1162"/>
      <c s="1162"/>
      <c s="546"/>
      <c s="1162"/>
      <c s="1162"/>
      <c s="1162"/>
      <c s="1162"/>
      <c s="1162"/>
      <c s="1634"/>
      <c s="568"/>
      <c s="568"/>
      <c s="568"/>
      <c s="568"/>
      <c s="1643">
        <v>11</v>
      </c>
    </row>
    <row r="85" spans="1:32" s="1643" customFormat="1" ht="11.55" customHeight="1">
      <c r="A85" s="989"/>
      <c s="1638"/>
      <c s="1638"/>
      <c s="353"/>
      <c r="K85" s="1162"/>
      <c s="1638"/>
      <c s="1638"/>
      <c s="1162"/>
      <c s="1162"/>
      <c s="1162"/>
      <c s="1162"/>
      <c s="1638"/>
      <c s="1162"/>
      <c s="1162"/>
      <c s="546"/>
      <c s="1162"/>
      <c s="1162"/>
      <c s="1162"/>
      <c s="1162"/>
      <c s="1162"/>
      <c s="1634"/>
      <c s="568"/>
      <c s="568"/>
      <c s="568"/>
      <c s="568"/>
      <c s="1643">
        <v>11</v>
      </c>
    </row>
    <row r="86" spans="1:32" s="1643" customFormat="1" ht="11.55" customHeight="1">
      <c r="A86" s="989"/>
      <c s="1638"/>
      <c s="1638"/>
      <c s="353"/>
      <c r="K86" s="1162"/>
      <c s="1638"/>
      <c s="1638"/>
      <c s="1162"/>
      <c s="1162"/>
      <c s="1162"/>
      <c s="1162"/>
      <c s="1638"/>
      <c s="1162"/>
      <c s="1162"/>
      <c s="546"/>
      <c s="1162"/>
      <c s="1162"/>
      <c s="1162"/>
      <c s="1162"/>
      <c s="1162"/>
      <c s="1634"/>
      <c s="568"/>
      <c s="568"/>
      <c s="568"/>
      <c s="568"/>
      <c s="1643">
        <v>11</v>
      </c>
    </row>
    <row r="87" spans="1:32" s="1643" customFormat="1" ht="11.55" customHeight="1">
      <c r="A87" s="989"/>
      <c s="1638"/>
      <c s="1638"/>
      <c s="353"/>
      <c r="K87" s="1162"/>
      <c s="1638"/>
      <c s="1638"/>
      <c s="1162"/>
      <c s="1162"/>
      <c s="1162"/>
      <c s="1162"/>
      <c s="1638"/>
      <c s="1162"/>
      <c s="1162"/>
      <c s="546"/>
      <c s="1162"/>
      <c s="1162"/>
      <c s="1162"/>
      <c s="1162"/>
      <c s="1162"/>
      <c s="1634"/>
      <c s="568"/>
      <c s="568"/>
      <c s="568"/>
      <c s="568"/>
      <c s="1643">
        <v>11</v>
      </c>
    </row>
    <row r="88" spans="1:32" s="1643" customFormat="1" ht="11.55" customHeight="1">
      <c r="A88" s="989"/>
      <c s="1638"/>
      <c s="1638"/>
      <c s="353"/>
      <c r="K88" s="1162"/>
      <c s="1638"/>
      <c s="1638"/>
      <c s="1162"/>
      <c s="1162"/>
      <c s="1162"/>
      <c s="1162"/>
      <c s="1638"/>
      <c s="1162"/>
      <c s="1162"/>
      <c s="546"/>
      <c s="1162"/>
      <c s="1162"/>
      <c s="1162"/>
      <c s="1162"/>
      <c s="1162"/>
      <c s="1634"/>
      <c s="568"/>
      <c s="568"/>
      <c s="568"/>
      <c s="568"/>
      <c s="1643">
        <v>11</v>
      </c>
    </row>
    <row r="89" spans="1:32" s="1643" customFormat="1" ht="11.55" customHeight="1">
      <c r="A89" s="989"/>
      <c s="1638"/>
      <c s="1638"/>
      <c s="353"/>
      <c r="K89" s="1162"/>
      <c s="1638"/>
      <c s="1638"/>
      <c s="1162"/>
      <c s="1162"/>
      <c s="1162"/>
      <c s="1162"/>
      <c s="1638"/>
      <c s="1162"/>
      <c s="1162"/>
      <c s="546"/>
      <c s="1162"/>
      <c s="1162"/>
      <c s="1162"/>
      <c s="1162"/>
      <c s="1162"/>
      <c s="1634"/>
      <c s="568"/>
      <c s="568"/>
      <c s="568"/>
      <c s="568"/>
      <c s="1643">
        <v>11</v>
      </c>
    </row>
    <row r="90" spans="1:32" s="1643" customFormat="1" ht="11.55" customHeight="1">
      <c r="A90" s="989"/>
      <c s="1638"/>
      <c s="1638"/>
      <c s="353"/>
      <c r="K90" s="1162"/>
      <c s="1638"/>
      <c s="1638"/>
      <c s="1162"/>
      <c s="1162"/>
      <c s="1162"/>
      <c s="1162"/>
      <c s="1638"/>
      <c s="1162"/>
      <c s="1162"/>
      <c s="546"/>
      <c s="1162"/>
      <c s="1162"/>
      <c s="1162"/>
      <c s="1162"/>
      <c s="1162"/>
      <c s="1634"/>
      <c s="568"/>
      <c s="568"/>
      <c s="568"/>
      <c s="568"/>
      <c s="1643">
        <v>11</v>
      </c>
    </row>
    <row r="91" spans="1:32" s="1643" customFormat="1" ht="11.55" customHeight="1">
      <c r="A91" s="989"/>
      <c s="1638"/>
      <c s="1638"/>
      <c s="353"/>
      <c r="K91" s="1162"/>
      <c s="1638"/>
      <c s="1638"/>
      <c s="1162"/>
      <c s="1162"/>
      <c s="1162"/>
      <c s="1162"/>
      <c s="1638"/>
      <c s="1162"/>
      <c s="1162"/>
      <c s="546"/>
      <c s="1162"/>
      <c s="1162"/>
      <c s="1162"/>
      <c s="1162"/>
      <c s="1162"/>
      <c s="1634"/>
      <c s="568"/>
      <c s="568"/>
      <c s="568"/>
      <c s="568"/>
      <c s="1643">
        <v>11</v>
      </c>
    </row>
    <row r="92" spans="1:32" s="1643" customFormat="1" ht="11.55" customHeight="1">
      <c r="A92" s="989"/>
      <c s="1638"/>
      <c s="1638"/>
      <c s="353"/>
      <c r="K92" s="1162"/>
      <c s="1638"/>
      <c s="1638"/>
      <c s="1162"/>
      <c s="1162"/>
      <c s="1162"/>
      <c s="1162"/>
      <c s="1638"/>
      <c s="1162"/>
      <c s="1162"/>
      <c s="546"/>
      <c s="1162"/>
      <c s="1162"/>
      <c s="1162"/>
      <c s="1162"/>
      <c s="1162"/>
      <c s="1634"/>
      <c s="568"/>
      <c s="568"/>
      <c s="568"/>
      <c s="568"/>
      <c s="1643">
        <v>11</v>
      </c>
    </row>
    <row r="93" spans="1:32" s="1643" customFormat="1" ht="11.55" customHeight="1">
      <c r="A93" s="989"/>
      <c s="1638"/>
      <c s="1638"/>
      <c s="353"/>
      <c r="K93" s="1162"/>
      <c s="1638"/>
      <c s="1638"/>
      <c s="1162"/>
      <c s="1162"/>
      <c s="1162"/>
      <c s="1162"/>
      <c s="1638"/>
      <c s="1162"/>
      <c s="1162"/>
      <c s="546"/>
      <c s="1162"/>
      <c s="1162"/>
      <c s="1162"/>
      <c s="1162"/>
      <c s="1162"/>
      <c s="1634"/>
      <c s="568"/>
      <c s="568"/>
      <c s="568"/>
      <c s="568"/>
      <c s="1643">
        <v>11</v>
      </c>
    </row>
    <row r="94" spans="1:32" s="1643" customFormat="1" ht="11.55" customHeight="1">
      <c r="A94" s="989"/>
      <c s="1638"/>
      <c s="1638"/>
      <c s="353"/>
      <c r="K94" s="1162"/>
      <c s="1638"/>
      <c s="1638"/>
      <c s="1162"/>
      <c s="1162"/>
      <c s="1162"/>
      <c s="1162"/>
      <c s="1638"/>
      <c s="1162"/>
      <c s="1162"/>
      <c s="546"/>
      <c s="1162"/>
      <c s="1162"/>
      <c s="1162"/>
      <c s="1162"/>
      <c s="1162"/>
      <c s="1634"/>
      <c s="568"/>
      <c s="568"/>
      <c s="568"/>
      <c s="568"/>
      <c s="1643">
        <v>11</v>
      </c>
    </row>
    <row r="95" spans="1:32" s="1643" customFormat="1" ht="11.55" customHeight="1">
      <c r="A95" s="989"/>
      <c s="1638"/>
      <c s="1638"/>
      <c s="353"/>
      <c r="K95" s="1162"/>
      <c s="1638"/>
      <c s="1638"/>
      <c s="1162"/>
      <c s="1162"/>
      <c s="1162"/>
      <c s="1162"/>
      <c s="1638"/>
      <c s="1162"/>
      <c s="1162"/>
      <c s="546"/>
      <c s="1162"/>
      <c s="1162"/>
      <c s="1162"/>
      <c s="1162"/>
      <c s="1162"/>
      <c s="1634"/>
      <c s="568"/>
      <c s="568"/>
      <c s="568"/>
      <c s="568"/>
      <c s="1643">
        <v>11</v>
      </c>
    </row>
    <row r="96" spans="1:32" s="1643" customFormat="1" ht="11.55" customHeight="1">
      <c r="A96" s="989"/>
      <c s="1638"/>
      <c s="1638"/>
      <c s="353"/>
      <c r="K96" s="1162"/>
      <c s="1638"/>
      <c s="1638"/>
      <c s="1162"/>
      <c s="1162"/>
      <c s="1162"/>
      <c s="1162"/>
      <c s="1638"/>
      <c s="1162"/>
      <c s="1162"/>
      <c s="546"/>
      <c s="1162"/>
      <c s="1162"/>
      <c s="1162"/>
      <c s="1162"/>
      <c s="1162"/>
      <c s="1634"/>
      <c s="568"/>
      <c s="568"/>
      <c s="568"/>
      <c s="568"/>
      <c s="1643">
        <v>11</v>
      </c>
    </row>
    <row r="97" spans="1:32" s="1643" customFormat="1" ht="11.55" customHeight="1">
      <c r="A97" s="989"/>
      <c s="1638"/>
      <c s="1638"/>
      <c s="353"/>
      <c r="K97" s="1162"/>
      <c s="1638"/>
      <c s="1638"/>
      <c s="1162"/>
      <c s="1162"/>
      <c s="1162"/>
      <c s="1162"/>
      <c s="1638"/>
      <c s="1162"/>
      <c s="1162"/>
      <c s="546"/>
      <c s="1162"/>
      <c s="1162"/>
      <c s="1162"/>
      <c s="1162"/>
      <c s="1162"/>
      <c s="1634"/>
      <c s="568"/>
      <c s="568"/>
      <c s="568"/>
      <c s="568"/>
      <c s="1643">
        <v>11</v>
      </c>
    </row>
    <row r="98" spans="1:32" s="1643" customFormat="1" ht="11.55" customHeight="1">
      <c r="A98" s="989"/>
      <c s="1638"/>
      <c s="1638"/>
      <c s="353"/>
      <c r="K98" s="1162"/>
      <c s="1638"/>
      <c s="1638"/>
      <c s="1162"/>
      <c s="1162"/>
      <c s="1162"/>
      <c s="1162"/>
      <c s="1638"/>
      <c s="1162"/>
      <c s="1162"/>
      <c s="546"/>
      <c s="1162"/>
      <c s="1162"/>
      <c s="1162"/>
      <c s="1162"/>
      <c s="1162"/>
      <c s="1634"/>
      <c s="568"/>
      <c s="568"/>
      <c s="568"/>
      <c s="568"/>
      <c s="1643">
        <v>11</v>
      </c>
    </row>
    <row r="99" spans="1:32" s="1643" customFormat="1" ht="11.55" customHeight="1">
      <c r="A99" s="989"/>
      <c s="1638"/>
      <c s="1638"/>
      <c s="353"/>
      <c r="K99" s="1162"/>
      <c s="1638"/>
      <c s="1638"/>
      <c s="1162"/>
      <c s="1162"/>
      <c s="1162"/>
      <c s="1162"/>
      <c s="1638"/>
      <c s="1162"/>
      <c s="1162"/>
      <c s="546"/>
      <c s="1162"/>
      <c s="1162"/>
      <c s="1162"/>
      <c s="1162"/>
      <c s="1162"/>
      <c s="1634"/>
      <c s="568"/>
      <c s="568"/>
      <c s="568"/>
      <c s="568"/>
      <c s="1643">
        <v>11</v>
      </c>
    </row>
    <row r="100" spans="1:32" s="1643" customFormat="1" ht="11.55" customHeight="1">
      <c r="A100" s="989"/>
      <c s="1638"/>
      <c s="1638"/>
      <c s="353"/>
      <c r="K100" s="1162"/>
      <c s="1638"/>
      <c s="1638"/>
      <c s="1162"/>
      <c s="1162"/>
      <c s="1162"/>
      <c s="1162"/>
      <c s="1638"/>
      <c s="1162"/>
      <c s="1162"/>
      <c s="546"/>
      <c s="1162"/>
      <c s="1162"/>
      <c s="1162"/>
      <c s="1162"/>
      <c s="1162"/>
      <c s="1634"/>
      <c s="568"/>
      <c s="568"/>
      <c s="568"/>
      <c s="568"/>
      <c s="1643">
        <v>11</v>
      </c>
    </row>
    <row r="101" spans="1:32" s="1643" customFormat="1" ht="11.55" customHeight="1">
      <c r="A101" s="989"/>
      <c s="1638"/>
      <c s="1638"/>
      <c s="353"/>
      <c r="K101" s="1162"/>
      <c s="1638"/>
      <c s="1638"/>
      <c s="1162"/>
      <c s="1162"/>
      <c s="1162"/>
      <c s="1162"/>
      <c s="1638"/>
      <c s="1162"/>
      <c s="1162"/>
      <c s="546"/>
      <c s="1162"/>
      <c s="1162"/>
      <c s="1162"/>
      <c s="1162"/>
      <c s="1162"/>
      <c s="1634"/>
      <c s="568"/>
      <c s="568"/>
      <c s="568"/>
      <c s="568"/>
      <c s="1643">
        <v>11</v>
      </c>
    </row>
    <row r="102" spans="1:32" s="1643" customFormat="1" ht="11.55" customHeight="1">
      <c r="A102" s="989"/>
      <c s="1638"/>
      <c s="1638"/>
      <c s="353"/>
      <c r="K102" s="1162"/>
      <c s="1638"/>
      <c s="1638"/>
      <c s="1162"/>
      <c s="1162"/>
      <c s="1162"/>
      <c s="1162"/>
      <c s="1638"/>
      <c s="1162"/>
      <c s="1162"/>
      <c s="546"/>
      <c s="1162"/>
      <c s="1162"/>
      <c s="1162"/>
      <c s="1162"/>
      <c s="1162"/>
      <c s="1634"/>
      <c s="568"/>
      <c s="568"/>
      <c s="568"/>
      <c s="568"/>
      <c s="1643">
        <v>11</v>
      </c>
    </row>
    <row r="103" spans="1:32" s="1643" customFormat="1" ht="11.55" customHeight="1">
      <c r="A103" s="989"/>
      <c s="1638"/>
      <c s="1638"/>
      <c s="353"/>
      <c r="K103" s="1162"/>
      <c s="1638"/>
      <c s="1638"/>
      <c s="1162"/>
      <c s="1162"/>
      <c s="1162"/>
      <c s="1162"/>
      <c s="1638"/>
      <c s="1162"/>
      <c s="1162"/>
      <c s="546"/>
      <c s="1162"/>
      <c s="1162"/>
      <c s="1162"/>
      <c s="1162"/>
      <c s="1162"/>
      <c s="1634"/>
      <c s="568"/>
      <c s="568"/>
      <c s="568"/>
      <c s="568"/>
      <c s="1643">
        <v>11</v>
      </c>
    </row>
    <row r="104" spans="1:32" s="1643" customFormat="1" ht="11.55" customHeight="1">
      <c r="A104" s="989"/>
      <c s="1638"/>
      <c s="1638"/>
      <c s="353"/>
      <c r="K104" s="1162"/>
      <c s="1638"/>
      <c s="1638"/>
      <c s="1162"/>
      <c s="1162"/>
      <c s="1162"/>
      <c s="1162"/>
      <c s="1638"/>
      <c s="1162"/>
      <c s="1162"/>
      <c s="546"/>
      <c s="1162"/>
      <c s="1162"/>
      <c s="1162"/>
      <c s="1162"/>
      <c s="1162"/>
      <c s="1634"/>
      <c s="568"/>
      <c s="568"/>
      <c s="568"/>
      <c s="568"/>
      <c s="1643">
        <v>11</v>
      </c>
    </row>
    <row r="105" spans="1:32" s="1643" customFormat="1" ht="11.55" customHeight="1">
      <c r="A105" s="989"/>
      <c s="1638"/>
      <c s="1638"/>
      <c s="353"/>
      <c r="K105" s="1162"/>
      <c s="1638"/>
      <c s="1638"/>
      <c s="1162"/>
      <c s="1162"/>
      <c s="1162"/>
      <c s="1162"/>
      <c s="1638"/>
      <c s="1162"/>
      <c s="1162"/>
      <c s="546"/>
      <c s="1162"/>
      <c s="1162"/>
      <c s="1162"/>
      <c s="1162"/>
      <c s="1162"/>
      <c s="1634"/>
      <c s="568"/>
      <c s="568"/>
      <c s="568"/>
      <c s="568"/>
      <c s="1643">
        <v>11</v>
      </c>
    </row>
    <row r="106" spans="1:32" s="1643" customFormat="1" ht="11.55" customHeight="1">
      <c r="A106" s="989"/>
      <c s="1638"/>
      <c s="1638"/>
      <c s="353"/>
      <c r="K106" s="1162"/>
      <c s="1638"/>
      <c s="1638"/>
      <c s="1162"/>
      <c s="1162"/>
      <c s="1162"/>
      <c s="1162"/>
      <c s="1638"/>
      <c s="1162"/>
      <c s="1162"/>
      <c s="546"/>
      <c s="1162"/>
      <c s="1162"/>
      <c s="1162"/>
      <c s="1162"/>
      <c s="1162"/>
      <c s="1634"/>
      <c s="568"/>
      <c s="568"/>
      <c s="568"/>
      <c s="568"/>
      <c s="1643">
        <v>11</v>
      </c>
    </row>
    <row r="107" spans="1:32" s="1643" customFormat="1" ht="11.55" customHeight="1">
      <c r="A107" s="989"/>
      <c s="1638"/>
      <c s="1638"/>
      <c s="353"/>
      <c r="K107" s="1162"/>
      <c s="1638"/>
      <c s="1638"/>
      <c s="1162"/>
      <c s="1162"/>
      <c s="1162"/>
      <c s="1162"/>
      <c s="1638"/>
      <c s="1162"/>
      <c s="1162"/>
      <c s="546"/>
      <c s="1162"/>
      <c s="1162"/>
      <c s="1162"/>
      <c s="1162"/>
      <c s="1162"/>
      <c s="1634"/>
      <c s="568"/>
      <c s="568"/>
      <c s="568"/>
      <c s="568"/>
      <c s="1643">
        <v>11</v>
      </c>
    </row>
    <row r="108" spans="1:32" s="1643" customFormat="1" ht="11.55" customHeight="1">
      <c r="A108" s="989"/>
      <c s="1638"/>
      <c s="1638"/>
      <c s="353"/>
      <c r="K108" s="1162"/>
      <c s="1638"/>
      <c s="1638"/>
      <c s="1162"/>
      <c s="1162"/>
      <c s="1162"/>
      <c s="1162"/>
      <c s="1638"/>
      <c s="1162"/>
      <c s="1162"/>
      <c s="546"/>
      <c s="1162"/>
      <c s="1162"/>
      <c s="1162"/>
      <c s="1162"/>
      <c s="1162"/>
      <c s="1634"/>
      <c s="568"/>
      <c s="568"/>
      <c s="568"/>
      <c s="568"/>
      <c s="1643">
        <v>11</v>
      </c>
    </row>
    <row r="109" spans="1:32" s="1643" customFormat="1" ht="11.55" customHeight="1">
      <c r="A109" s="989"/>
      <c s="1638"/>
      <c s="1638"/>
      <c s="353"/>
      <c r="K109" s="1162"/>
      <c s="1638"/>
      <c s="1638"/>
      <c s="1162"/>
      <c s="1162"/>
      <c s="1162"/>
      <c s="1162"/>
      <c s="1638"/>
      <c s="1162"/>
      <c s="1162"/>
      <c s="546"/>
      <c s="1162"/>
      <c s="1162"/>
      <c s="1162"/>
      <c s="1162"/>
      <c s="1162"/>
      <c s="1634"/>
      <c s="568"/>
      <c s="568"/>
      <c s="568"/>
      <c s="568"/>
      <c s="1643">
        <v>11</v>
      </c>
    </row>
    <row r="110" spans="1:32" s="1643" customFormat="1" ht="11.55" customHeight="1">
      <c r="A110" s="989"/>
      <c s="1638"/>
      <c s="1638"/>
      <c s="353"/>
      <c r="K110" s="1162"/>
      <c s="1638"/>
      <c s="1638"/>
      <c s="1162"/>
      <c s="1162"/>
      <c s="1162"/>
      <c s="1162"/>
      <c s="1638"/>
      <c s="1162"/>
      <c s="1162"/>
      <c s="546"/>
      <c s="1162"/>
      <c s="1162"/>
      <c s="1162"/>
      <c s="1162"/>
      <c s="1162"/>
      <c s="1634"/>
      <c s="568"/>
      <c s="568"/>
      <c s="568"/>
      <c s="568"/>
      <c s="1643">
        <v>11</v>
      </c>
    </row>
    <row r="111" spans="1:32" s="1643" customFormat="1" ht="11.55" customHeight="1">
      <c r="A111" s="989"/>
      <c s="1638"/>
      <c s="1638"/>
      <c s="353"/>
      <c r="K111" s="1162"/>
      <c s="1638"/>
      <c s="1638"/>
      <c s="1162"/>
      <c s="1162"/>
      <c s="1162"/>
      <c s="1162"/>
      <c s="1638"/>
      <c s="1162"/>
      <c s="1162"/>
      <c s="546"/>
      <c s="1162"/>
      <c s="1162"/>
      <c s="1162"/>
      <c s="1162"/>
      <c s="1162"/>
      <c s="1634"/>
      <c s="568"/>
      <c s="568"/>
      <c s="568"/>
      <c s="568"/>
      <c s="1643">
        <v>11</v>
      </c>
    </row>
    <row r="112" spans="1:32" s="1643" customFormat="1" ht="11.55" customHeight="1">
      <c r="A112" s="989"/>
      <c s="1638"/>
      <c s="1638"/>
      <c s="353"/>
      <c r="K112" s="1162"/>
      <c s="1638"/>
      <c s="1638"/>
      <c s="1162"/>
      <c s="1162"/>
      <c s="1162"/>
      <c s="1162"/>
      <c s="1638"/>
      <c s="1162"/>
      <c s="1162"/>
      <c s="546"/>
      <c s="1162"/>
      <c s="1162"/>
      <c s="1162"/>
      <c s="1162"/>
      <c s="1162"/>
      <c s="1634"/>
      <c s="568"/>
      <c s="568"/>
      <c s="568"/>
      <c s="568"/>
      <c s="1643">
        <v>11</v>
      </c>
    </row>
    <row r="113" spans="1:32" s="1643" customFormat="1" ht="11.55" customHeight="1">
      <c r="A113" s="989"/>
      <c s="1638"/>
      <c s="1638"/>
      <c s="353"/>
      <c r="K113" s="1162"/>
      <c s="1638"/>
      <c s="1638"/>
      <c s="1162"/>
      <c s="1162"/>
      <c s="1162"/>
      <c s="1162"/>
      <c s="1638"/>
      <c s="1162"/>
      <c s="1162"/>
      <c s="546"/>
      <c s="1162"/>
      <c s="1162"/>
      <c s="1162"/>
      <c s="1162"/>
      <c s="1162"/>
      <c s="1634"/>
      <c s="568"/>
      <c s="568"/>
      <c s="568"/>
      <c s="568"/>
      <c s="1643">
        <v>11</v>
      </c>
    </row>
    <row r="114" spans="1:32" s="1643" customFormat="1" ht="11.55" customHeight="1">
      <c r="A114" s="989"/>
      <c s="1638"/>
      <c s="1638"/>
      <c s="353"/>
      <c r="K114" s="1162"/>
      <c s="1638"/>
      <c s="1638"/>
      <c s="1162"/>
      <c s="1162"/>
      <c s="1162"/>
      <c s="1162"/>
      <c s="1638"/>
      <c s="1162"/>
      <c s="1162"/>
      <c s="546"/>
      <c s="1162"/>
      <c s="1162"/>
      <c s="1162"/>
      <c s="1162"/>
      <c s="1162"/>
      <c s="1634"/>
      <c s="568"/>
      <c s="568"/>
      <c s="568"/>
      <c s="568"/>
      <c s="1643">
        <v>11</v>
      </c>
    </row>
    <row r="115" spans="1:32" s="1643" customFormat="1" ht="11.55" customHeight="1">
      <c r="A115" s="989"/>
      <c s="1638"/>
      <c s="1638"/>
      <c s="353"/>
      <c r="K115" s="1162"/>
      <c s="1638"/>
      <c s="1638"/>
      <c s="1162"/>
      <c s="1162"/>
      <c s="1162"/>
      <c s="1162"/>
      <c s="1638"/>
      <c s="1162"/>
      <c s="1162"/>
      <c s="546"/>
      <c s="1162"/>
      <c s="1162"/>
      <c s="1162"/>
      <c s="1162"/>
      <c s="1162"/>
      <c s="1634"/>
      <c s="568"/>
      <c s="568"/>
      <c s="568"/>
      <c s="568"/>
      <c s="1643">
        <v>11</v>
      </c>
    </row>
    <row r="116" spans="1:32" s="1643" customFormat="1" ht="11.55" customHeight="1">
      <c r="A116" s="989"/>
      <c s="1638"/>
      <c s="1638"/>
      <c s="353"/>
      <c r="K116" s="1162"/>
      <c s="1638"/>
      <c s="1638"/>
      <c s="1162"/>
      <c s="1162"/>
      <c s="1162"/>
      <c s="1162"/>
      <c s="1638"/>
      <c s="1162"/>
      <c s="1162"/>
      <c s="546"/>
      <c s="1162"/>
      <c s="1162"/>
      <c s="1162"/>
      <c s="1162"/>
      <c s="1162"/>
      <c s="1634"/>
      <c s="568"/>
      <c s="568"/>
      <c s="568"/>
      <c s="568"/>
      <c s="1643">
        <v>11</v>
      </c>
    </row>
    <row r="117" spans="1:32" s="1643" customFormat="1" ht="11.55" customHeight="1">
      <c r="A117" s="989"/>
      <c s="1638"/>
      <c s="1638"/>
      <c s="353"/>
      <c r="K117" s="1162"/>
      <c s="1638"/>
      <c s="1638"/>
      <c s="1162"/>
      <c s="1162"/>
      <c s="1162"/>
      <c s="1162"/>
      <c s="1638"/>
      <c s="1162"/>
      <c s="1162"/>
      <c s="546"/>
      <c s="1162"/>
      <c s="1162"/>
      <c s="1162"/>
      <c s="1162"/>
      <c s="1162"/>
      <c s="1634"/>
      <c s="568"/>
      <c s="568"/>
      <c s="568"/>
      <c s="568"/>
      <c s="1643">
        <v>11</v>
      </c>
    </row>
    <row r="118" spans="1:32" s="1643" customFormat="1" ht="11.55" customHeight="1">
      <c r="A118" s="989"/>
      <c s="1638"/>
      <c s="1638"/>
      <c s="353"/>
      <c r="K118" s="1162"/>
      <c s="1638"/>
      <c s="1638"/>
      <c s="1162"/>
      <c s="1162"/>
      <c s="1162"/>
      <c s="1162"/>
      <c s="1638"/>
      <c s="1162"/>
      <c s="1162"/>
      <c s="546"/>
      <c s="1162"/>
      <c s="1162"/>
      <c s="1162"/>
      <c s="1162"/>
      <c s="1162"/>
      <c s="1634"/>
      <c s="568"/>
      <c s="568"/>
      <c s="568"/>
      <c s="568"/>
      <c s="1643">
        <v>11</v>
      </c>
    </row>
    <row r="119" spans="1:32" s="1643" customFormat="1" ht="11.55" customHeight="1">
      <c r="A119" s="989"/>
      <c s="1638"/>
      <c s="1638"/>
      <c s="353"/>
      <c r="K119" s="1162"/>
      <c s="1638"/>
      <c s="1638"/>
      <c s="1162"/>
      <c s="1162"/>
      <c s="1162"/>
      <c s="1162"/>
      <c s="1638"/>
      <c s="1162"/>
      <c s="1162"/>
      <c s="546"/>
      <c s="1162"/>
      <c s="1162"/>
      <c s="1162"/>
      <c s="1162"/>
      <c s="1162"/>
      <c s="1634"/>
      <c s="568"/>
      <c s="568"/>
      <c s="568"/>
      <c s="568"/>
      <c s="1643">
        <v>11</v>
      </c>
    </row>
    <row r="120" spans="1:32" s="1643" customFormat="1" ht="11.55" customHeight="1">
      <c r="A120" s="989"/>
      <c s="1638"/>
      <c s="1638"/>
      <c s="353"/>
      <c r="K120" s="1162"/>
      <c s="1638"/>
      <c s="1638"/>
      <c s="1162"/>
      <c s="1162"/>
      <c s="1162"/>
      <c s="1162"/>
      <c s="1638"/>
      <c s="1162"/>
      <c s="1162"/>
      <c s="546"/>
      <c s="1162"/>
      <c s="1162"/>
      <c s="1162"/>
      <c s="1162"/>
      <c s="1162"/>
      <c s="1634"/>
      <c s="568"/>
      <c s="568"/>
      <c s="568"/>
      <c s="568"/>
      <c s="1643">
        <v>11</v>
      </c>
    </row>
    <row r="121" spans="1:32" s="1643" customFormat="1" ht="11.55" customHeight="1">
      <c r="A121" s="989"/>
      <c s="1638"/>
      <c s="1638"/>
      <c s="353"/>
      <c r="K121" s="1162"/>
      <c s="1638"/>
      <c s="1638"/>
      <c s="1162"/>
      <c s="1162"/>
      <c s="1162"/>
      <c s="1162"/>
      <c s="1638"/>
      <c s="1162"/>
      <c s="1162"/>
      <c s="546"/>
      <c s="1162"/>
      <c s="1162"/>
      <c s="1162"/>
      <c s="1162"/>
      <c s="1162"/>
      <c s="1634"/>
      <c s="568"/>
      <c s="568"/>
      <c s="568"/>
      <c s="568"/>
      <c s="1643">
        <v>11</v>
      </c>
    </row>
    <row r="122" spans="1:32" s="1643" customFormat="1" ht="11.55" customHeight="1">
      <c r="A122" s="989"/>
      <c s="1638"/>
      <c s="1638"/>
      <c s="353"/>
      <c r="K122" s="1162"/>
      <c s="1638"/>
      <c s="1638"/>
      <c s="1162"/>
      <c s="1162"/>
      <c s="1162"/>
      <c s="1162"/>
      <c s="1638"/>
      <c s="1162"/>
      <c s="1162"/>
      <c s="546"/>
      <c s="1162"/>
      <c s="1162"/>
      <c s="1162"/>
      <c s="1162"/>
      <c s="1162"/>
      <c s="1634"/>
      <c s="568"/>
      <c s="568"/>
      <c s="568"/>
      <c s="568"/>
      <c s="1643">
        <v>11</v>
      </c>
    </row>
    <row r="123" spans="1:32" s="1643" customFormat="1" ht="11.55" customHeight="1">
      <c r="A123" s="989"/>
      <c s="1638"/>
      <c s="1638"/>
      <c s="353"/>
      <c r="K123" s="1162"/>
      <c s="1638"/>
      <c s="1638"/>
      <c s="1162"/>
      <c s="1162"/>
      <c s="1162"/>
      <c s="1162"/>
      <c s="1638"/>
      <c s="1162"/>
      <c s="1162"/>
      <c s="546"/>
      <c s="1162"/>
      <c s="1162"/>
      <c s="1162"/>
      <c s="1162"/>
      <c s="1162"/>
      <c s="1634"/>
      <c s="568"/>
      <c s="568"/>
      <c s="568"/>
      <c s="568"/>
      <c s="1643">
        <v>11</v>
      </c>
    </row>
    <row r="124" spans="1:32" s="1643" customFormat="1" ht="11.55" customHeight="1">
      <c r="A124" s="989"/>
      <c s="1638"/>
      <c s="1638"/>
      <c s="353"/>
      <c r="K124" s="1162"/>
      <c s="1638"/>
      <c s="1638"/>
      <c s="1162"/>
      <c s="1162"/>
      <c s="1162"/>
      <c s="1162"/>
      <c s="1638"/>
      <c s="1162"/>
      <c s="1162"/>
      <c s="546"/>
      <c s="1162"/>
      <c s="1162"/>
      <c s="1162"/>
      <c s="1162"/>
      <c s="1162"/>
      <c s="1634"/>
      <c s="568"/>
      <c s="568"/>
      <c s="568"/>
      <c s="568"/>
      <c s="1643">
        <v>11</v>
      </c>
    </row>
    <row r="125" spans="1:32" s="1643" customFormat="1" ht="11.55" customHeight="1">
      <c r="A125" s="989"/>
      <c s="1638"/>
      <c s="1638"/>
      <c s="353"/>
      <c r="K125" s="1162"/>
      <c s="1638"/>
      <c s="1638"/>
      <c s="1162"/>
      <c s="1162"/>
      <c s="1162"/>
      <c s="1162"/>
      <c s="1638"/>
      <c s="1162"/>
      <c s="1162"/>
      <c s="546"/>
      <c s="1162"/>
      <c s="1162"/>
      <c s="1162"/>
      <c s="1162"/>
      <c s="1162"/>
      <c s="1634"/>
      <c s="568"/>
      <c s="568"/>
      <c s="568"/>
      <c s="568"/>
      <c s="1643">
        <v>11</v>
      </c>
    </row>
    <row r="126" spans="1:32" s="1643" customFormat="1" ht="11.55" customHeight="1">
      <c r="A126" s="989"/>
      <c s="1638"/>
      <c s="1638"/>
      <c s="353"/>
      <c r="K126" s="1162"/>
      <c s="1638"/>
      <c s="1638"/>
      <c s="1162"/>
      <c s="1162"/>
      <c s="1162"/>
      <c s="1162"/>
      <c s="1638"/>
      <c s="1162"/>
      <c s="1162"/>
      <c s="546"/>
      <c s="1162"/>
      <c s="1162"/>
      <c s="1162"/>
      <c s="1162"/>
      <c s="1162"/>
      <c s="1634"/>
      <c s="568"/>
      <c s="568"/>
      <c s="568"/>
      <c s="568"/>
      <c s="1643">
        <v>11</v>
      </c>
    </row>
    <row r="127" spans="1:32" s="1643" customFormat="1" ht="11.55" customHeight="1">
      <c r="A127" s="989"/>
      <c s="1638"/>
      <c s="1638"/>
      <c s="353"/>
      <c r="K127" s="1162"/>
      <c s="1638"/>
      <c s="1638"/>
      <c s="1162"/>
      <c s="1162"/>
      <c s="1162"/>
      <c s="1162"/>
      <c s="1638"/>
      <c s="1162"/>
      <c s="1162"/>
      <c s="546"/>
      <c s="1162"/>
      <c s="1162"/>
      <c s="1162"/>
      <c s="1162"/>
      <c s="1162"/>
      <c s="1634"/>
      <c s="568"/>
      <c s="568"/>
      <c s="568"/>
      <c s="568"/>
      <c s="1643">
        <v>11</v>
      </c>
    </row>
    <row r="128" spans="1:32" s="1643" customFormat="1" ht="11.55" customHeight="1">
      <c r="A128" s="989"/>
      <c s="1638"/>
      <c s="1638"/>
      <c s="353"/>
      <c r="K128" s="1162"/>
      <c s="1638"/>
      <c s="1638"/>
      <c s="1162"/>
      <c s="1162"/>
      <c s="1162"/>
      <c s="1162"/>
      <c s="1638"/>
      <c s="1162"/>
      <c s="1162"/>
      <c s="546"/>
      <c s="1162"/>
      <c s="1162"/>
      <c s="1162"/>
      <c s="1162"/>
      <c s="1162"/>
      <c s="1634"/>
      <c s="568"/>
      <c s="568"/>
      <c s="568"/>
      <c s="568"/>
      <c s="1643">
        <v>11</v>
      </c>
    </row>
    <row r="129" spans="1:32" s="1643" customFormat="1" ht="11.55" customHeight="1">
      <c r="A129" s="989"/>
      <c s="1638"/>
      <c s="1638"/>
      <c s="353"/>
      <c r="K129" s="1162"/>
      <c s="1638"/>
      <c s="1638"/>
      <c s="1162"/>
      <c s="1162"/>
      <c s="1162"/>
      <c s="1162"/>
      <c s="1638"/>
      <c s="1162"/>
      <c s="1162"/>
      <c s="546"/>
      <c s="1162"/>
      <c s="1162"/>
      <c s="1162"/>
      <c s="1162"/>
      <c s="1162"/>
      <c s="1634"/>
      <c s="568"/>
      <c s="568"/>
      <c s="568"/>
      <c s="568"/>
      <c s="1643">
        <v>11</v>
      </c>
    </row>
    <row r="130" spans="1:32" s="1643" customFormat="1" ht="11.55" customHeight="1">
      <c r="A130" s="989"/>
      <c s="1638"/>
      <c s="1638"/>
      <c s="353"/>
      <c r="K130" s="1162"/>
      <c s="1638"/>
      <c s="1638"/>
      <c s="1162"/>
      <c s="1162"/>
      <c s="1162"/>
      <c s="1162"/>
      <c s="1638"/>
      <c s="1162"/>
      <c s="1162"/>
      <c s="546"/>
      <c s="1162"/>
      <c s="1162"/>
      <c s="1162"/>
      <c s="1162"/>
      <c s="1162"/>
      <c s="1634"/>
      <c s="568"/>
      <c s="568"/>
      <c s="568"/>
      <c s="568"/>
      <c s="1643">
        <v>11</v>
      </c>
    </row>
    <row r="131" spans="1:32" s="1643" customFormat="1" ht="11.55" customHeight="1">
      <c r="A131" s="989"/>
      <c s="1638"/>
      <c s="1638"/>
      <c s="353"/>
      <c r="K131" s="1162"/>
      <c s="1638"/>
      <c s="1638"/>
      <c s="1162"/>
      <c s="1162"/>
      <c s="1162"/>
      <c s="1162"/>
      <c s="1638"/>
      <c s="1162"/>
      <c s="1162"/>
      <c s="546"/>
      <c s="1162"/>
      <c s="1162"/>
      <c s="1162"/>
      <c s="1162"/>
      <c s="1162"/>
      <c s="1634"/>
      <c s="568"/>
      <c s="568"/>
      <c s="568"/>
      <c s="568"/>
      <c s="1643">
        <v>11</v>
      </c>
    </row>
    <row r="132" spans="1:32" s="1643" customFormat="1" ht="11.55" customHeight="1">
      <c r="A132" s="989"/>
      <c s="1638"/>
      <c s="1638"/>
      <c s="353"/>
      <c r="K132" s="1162"/>
      <c s="1638"/>
      <c s="1638"/>
      <c s="1162"/>
      <c s="1162"/>
      <c s="1162"/>
      <c s="1162"/>
      <c s="1638"/>
      <c s="1162"/>
      <c s="1162"/>
      <c s="546"/>
      <c s="1162"/>
      <c s="1162"/>
      <c s="1162"/>
      <c s="1162"/>
      <c s="1162"/>
      <c s="1634"/>
      <c s="568"/>
      <c s="568"/>
      <c s="568"/>
      <c s="568"/>
      <c s="1643">
        <v>11</v>
      </c>
    </row>
    <row r="133" spans="1:32" s="1643" customFormat="1" ht="11.55" customHeight="1">
      <c r="A133" s="989"/>
      <c s="1638"/>
      <c s="1638"/>
      <c s="353"/>
      <c r="K133" s="1162"/>
      <c s="1638"/>
      <c s="1638"/>
      <c s="1162"/>
      <c s="1162"/>
      <c s="1162"/>
      <c s="1162"/>
      <c s="1638"/>
      <c s="1162"/>
      <c s="1162"/>
      <c s="546"/>
      <c s="1162"/>
      <c s="1162"/>
      <c s="1162"/>
      <c s="1162"/>
      <c s="1162"/>
      <c s="1634"/>
      <c s="568"/>
      <c s="568"/>
      <c s="568"/>
      <c s="568"/>
      <c s="1643">
        <v>11</v>
      </c>
    </row>
    <row r="134" spans="1:32" s="1643" customFormat="1" ht="11.55" customHeight="1">
      <c r="A134" s="989"/>
      <c s="1638"/>
      <c s="1638"/>
      <c s="353"/>
      <c r="K134" s="1162"/>
      <c s="1638"/>
      <c s="1638"/>
      <c s="1162"/>
      <c s="1162"/>
      <c s="1162"/>
      <c s="1162"/>
      <c s="1638"/>
      <c s="1162"/>
      <c s="1162"/>
      <c s="546"/>
      <c s="1162"/>
      <c s="1162"/>
      <c s="1162"/>
      <c s="1162"/>
      <c s="1162"/>
      <c s="1634"/>
      <c s="568"/>
      <c s="568"/>
      <c s="568"/>
      <c s="568"/>
      <c s="1643">
        <v>11</v>
      </c>
    </row>
    <row r="135" spans="1:32" s="1643" customFormat="1" ht="11.55" customHeight="1">
      <c r="A135" s="989"/>
      <c s="1638"/>
      <c s="1638"/>
      <c s="353"/>
      <c r="K135" s="1162"/>
      <c s="1638"/>
      <c s="1638"/>
      <c s="1162"/>
      <c s="1162"/>
      <c s="1162"/>
      <c s="1162"/>
      <c s="1638"/>
      <c s="1162"/>
      <c s="1162"/>
      <c s="546"/>
      <c s="1162"/>
      <c s="1162"/>
      <c s="1162"/>
      <c s="1162"/>
      <c s="1162"/>
      <c s="1634"/>
      <c s="568"/>
      <c s="568"/>
      <c s="568"/>
      <c s="568"/>
      <c s="1643">
        <v>11</v>
      </c>
    </row>
    <row r="136" spans="1:32" s="1643" customFormat="1" ht="11.55" customHeight="1">
      <c r="A136" s="989"/>
      <c s="1638"/>
      <c s="1638"/>
      <c s="353"/>
      <c r="K136" s="1162"/>
      <c s="1638"/>
      <c s="1638"/>
      <c s="1162"/>
      <c s="1162"/>
      <c s="1162"/>
      <c s="1162"/>
      <c s="1638"/>
      <c s="1162"/>
      <c s="1162"/>
      <c s="546"/>
      <c s="1162"/>
      <c s="1162"/>
      <c s="1162"/>
      <c s="1162"/>
      <c s="1162"/>
      <c s="1634"/>
      <c s="568"/>
      <c s="568"/>
      <c s="568"/>
      <c s="568"/>
      <c s="1643">
        <v>11</v>
      </c>
    </row>
    <row r="137" spans="1:32" s="1643" customFormat="1" ht="11.55" customHeight="1">
      <c r="A137" s="989"/>
      <c s="1638"/>
      <c s="1638"/>
      <c s="353"/>
      <c r="K137" s="1162"/>
      <c s="1638"/>
      <c s="1638"/>
      <c s="1162"/>
      <c s="1162"/>
      <c s="1162"/>
      <c s="1162"/>
      <c s="1638"/>
      <c s="1162"/>
      <c s="1162"/>
      <c s="546"/>
      <c s="1162"/>
      <c s="1162"/>
      <c s="1162"/>
      <c s="1162"/>
      <c s="1162"/>
      <c s="1634"/>
      <c s="568"/>
      <c s="568"/>
      <c s="568"/>
      <c s="568"/>
      <c s="1643">
        <v>11</v>
      </c>
    </row>
    <row r="138" spans="1:32" s="1643" customFormat="1" ht="11.55" customHeight="1">
      <c r="A138" s="989"/>
      <c s="1638"/>
      <c s="1638"/>
      <c s="353"/>
      <c r="K138" s="1162"/>
      <c s="1638"/>
      <c s="1638"/>
      <c s="1162"/>
      <c s="1162"/>
      <c s="1162"/>
      <c s="1162"/>
      <c s="1638"/>
      <c s="1162"/>
      <c s="1162"/>
      <c s="546"/>
      <c s="1162"/>
      <c s="1162"/>
      <c s="1162"/>
      <c s="1162"/>
      <c s="1162"/>
      <c s="1634"/>
      <c s="568"/>
      <c s="568"/>
      <c s="568"/>
      <c s="568"/>
      <c s="1643">
        <v>11</v>
      </c>
    </row>
    <row r="139" spans="1:32" s="1643" customFormat="1" ht="11.55" customHeight="1">
      <c r="A139" s="989"/>
      <c s="1638"/>
      <c s="1638"/>
      <c s="353"/>
      <c r="K139" s="1162"/>
      <c s="1638"/>
      <c s="1638"/>
      <c s="1162"/>
      <c s="1162"/>
      <c s="1162"/>
      <c s="1162"/>
      <c s="1638"/>
      <c s="1162"/>
      <c s="1162"/>
      <c s="546"/>
      <c s="1162"/>
      <c s="1162"/>
      <c s="1162"/>
      <c s="1162"/>
      <c s="1162"/>
      <c s="1634"/>
      <c s="568"/>
      <c s="568"/>
      <c s="568"/>
      <c s="568"/>
      <c s="1643">
        <v>11</v>
      </c>
    </row>
    <row r="140" spans="1:32" s="1643" customFormat="1" ht="11.55" customHeight="1">
      <c r="A140" s="989"/>
      <c s="1638"/>
      <c s="1638"/>
      <c s="353"/>
      <c r="K140" s="1162"/>
      <c s="1638"/>
      <c s="1638"/>
      <c s="1162"/>
      <c s="1162"/>
      <c s="1162"/>
      <c s="1162"/>
      <c s="1638"/>
      <c s="1162"/>
      <c s="1162"/>
      <c s="546"/>
      <c s="1162"/>
      <c s="1162"/>
      <c s="1162"/>
      <c s="1162"/>
      <c s="1162"/>
      <c s="1634"/>
      <c s="568"/>
      <c s="568"/>
      <c s="568"/>
      <c s="568"/>
      <c s="1643">
        <v>11</v>
      </c>
    </row>
    <row r="141" spans="1:32" s="1643" customFormat="1" ht="11.55" customHeight="1">
      <c r="A141" s="989"/>
      <c s="1638"/>
      <c s="1638"/>
      <c s="353"/>
      <c r="K141" s="1162"/>
      <c s="1638"/>
      <c s="1638"/>
      <c s="1162"/>
      <c s="1162"/>
      <c s="1162"/>
      <c s="1162"/>
      <c s="1638"/>
      <c s="1162"/>
      <c s="1162"/>
      <c s="546"/>
      <c s="1162"/>
      <c s="1162"/>
      <c s="1162"/>
      <c s="1162"/>
      <c s="1162"/>
      <c s="1634"/>
      <c s="568"/>
      <c s="568"/>
      <c s="568"/>
      <c s="568"/>
      <c s="1643">
        <v>11</v>
      </c>
    </row>
    <row r="142" spans="1:32" s="1643" customFormat="1" ht="11.55" customHeight="1">
      <c r="A142" s="989"/>
      <c s="1638"/>
      <c s="1638"/>
      <c s="353"/>
      <c r="K142" s="1162"/>
      <c s="1638"/>
      <c s="1638"/>
      <c s="1162"/>
      <c s="1162"/>
      <c s="1162"/>
      <c s="1162"/>
      <c s="1638"/>
      <c s="1162"/>
      <c s="1162"/>
      <c s="546"/>
      <c s="1162"/>
      <c s="1162"/>
      <c s="1162"/>
      <c s="1162"/>
      <c s="1162"/>
      <c s="1634"/>
      <c s="568"/>
      <c s="568"/>
      <c s="568"/>
      <c s="568"/>
      <c s="1643">
        <v>11</v>
      </c>
    </row>
    <row r="143" spans="1:32" s="1643" customFormat="1" ht="11.55" customHeight="1">
      <c r="A143" s="989"/>
      <c s="1638"/>
      <c s="1638"/>
      <c s="353"/>
      <c r="K143" s="1162"/>
      <c s="1638"/>
      <c s="1638"/>
      <c s="1162"/>
      <c s="1162"/>
      <c s="1162"/>
      <c s="1162"/>
      <c s="1638"/>
      <c s="1162"/>
      <c s="1162"/>
      <c s="546"/>
      <c s="1162"/>
      <c s="1162"/>
      <c s="1162"/>
      <c s="1162"/>
      <c s="1162"/>
      <c s="1634"/>
      <c s="568"/>
      <c s="568"/>
      <c s="568"/>
      <c s="568"/>
      <c s="1643">
        <v>11</v>
      </c>
    </row>
    <row r="144" spans="1:32" s="1643" customFormat="1" ht="11.55" customHeight="1">
      <c r="A144" s="989"/>
      <c s="1638"/>
      <c s="1638"/>
      <c s="353"/>
      <c r="K144" s="1162"/>
      <c s="1638"/>
      <c s="1638"/>
      <c s="1162"/>
      <c s="1162"/>
      <c s="1162"/>
      <c s="1162"/>
      <c s="1638"/>
      <c s="1162"/>
      <c s="1162"/>
      <c s="546"/>
      <c s="1162"/>
      <c s="1162"/>
      <c s="1162"/>
      <c s="1162"/>
      <c s="1162"/>
      <c s="1634"/>
      <c s="568"/>
      <c s="568"/>
      <c s="568"/>
      <c s="568"/>
      <c s="1643">
        <v>11</v>
      </c>
    </row>
    <row r="145" spans="1:32" s="1643" customFormat="1" ht="11.55" customHeight="1">
      <c r="A145" s="989"/>
      <c s="1638"/>
      <c s="1638"/>
      <c s="353"/>
      <c r="K145" s="1162"/>
      <c s="1638"/>
      <c s="1638"/>
      <c s="1162"/>
      <c s="1162"/>
      <c s="1162"/>
      <c s="1162"/>
      <c s="1638"/>
      <c s="1162"/>
      <c s="1162"/>
      <c s="546"/>
      <c s="1162"/>
      <c s="1162"/>
      <c s="1162"/>
      <c s="1162"/>
      <c s="1162"/>
      <c s="1634"/>
      <c s="568"/>
      <c s="568"/>
      <c s="568"/>
      <c s="568"/>
      <c s="1643">
        <v>11</v>
      </c>
    </row>
    <row r="146" spans="1:32" s="1643" customFormat="1" ht="11.55" customHeight="1">
      <c r="A146" s="989"/>
      <c s="1638"/>
      <c s="1638"/>
      <c s="353"/>
      <c r="K146" s="1162"/>
      <c s="1638"/>
      <c s="1638"/>
      <c s="1162"/>
      <c s="1162"/>
      <c s="1162"/>
      <c s="1162"/>
      <c s="1638"/>
      <c s="1162"/>
      <c s="1162"/>
      <c s="546"/>
      <c s="1162"/>
      <c s="1162"/>
      <c s="1162"/>
      <c s="1162"/>
      <c s="1162"/>
      <c s="1634"/>
      <c s="568"/>
      <c s="568"/>
      <c s="568"/>
      <c s="568"/>
      <c s="1643">
        <v>11</v>
      </c>
    </row>
    <row r="147" spans="1:32" s="1643" customFormat="1" ht="11.55" customHeight="1">
      <c r="A147" s="989"/>
      <c s="1638"/>
      <c s="1638"/>
      <c s="353"/>
      <c r="K147" s="1162"/>
      <c s="1638"/>
      <c s="1638"/>
      <c s="1162"/>
      <c s="1162"/>
      <c s="1162"/>
      <c s="1162"/>
      <c s="1638"/>
      <c s="1162"/>
      <c s="1162"/>
      <c s="546"/>
      <c s="1162"/>
      <c s="1162"/>
      <c s="1162"/>
      <c s="1162"/>
      <c s="1162"/>
      <c s="1634"/>
      <c s="568"/>
      <c s="568"/>
      <c s="568"/>
      <c s="568"/>
      <c s="1643">
        <v>11</v>
      </c>
    </row>
    <row r="148" spans="1:32" s="1643" customFormat="1" ht="11.55" customHeight="1">
      <c r="A148" s="989"/>
      <c s="1638"/>
      <c s="1638"/>
      <c s="353"/>
      <c r="K148" s="1162"/>
      <c s="1638"/>
      <c s="1638"/>
      <c s="1162"/>
      <c s="1162"/>
      <c s="1162"/>
      <c s="1162"/>
      <c s="1638"/>
      <c s="1162"/>
      <c s="1162"/>
      <c s="546"/>
      <c s="1162"/>
      <c s="1162"/>
      <c s="1162"/>
      <c s="1162"/>
      <c s="1162"/>
      <c s="1634"/>
      <c s="568"/>
      <c s="568"/>
      <c s="568"/>
      <c s="568"/>
      <c s="1643">
        <v>11</v>
      </c>
    </row>
    <row r="149" spans="1:32" s="1643" customFormat="1" ht="11.55" customHeight="1">
      <c r="A149" s="989"/>
      <c s="1638"/>
      <c s="1638"/>
      <c s="353"/>
      <c r="K149" s="1162"/>
      <c s="1638"/>
      <c s="1638"/>
      <c s="1162"/>
      <c s="1162"/>
      <c s="1162"/>
      <c s="1162"/>
      <c s="1638"/>
      <c s="1162"/>
      <c s="1162"/>
      <c s="546"/>
      <c s="1162"/>
      <c s="1162"/>
      <c s="1162"/>
      <c s="1162"/>
      <c s="1162"/>
      <c s="1634"/>
      <c s="568"/>
      <c s="568"/>
      <c s="568"/>
      <c s="568"/>
      <c s="1643">
        <v>11</v>
      </c>
    </row>
    <row r="150" spans="1:32" s="1643" customFormat="1" ht="11.55" customHeight="1">
      <c r="A150" s="989"/>
      <c s="1638"/>
      <c s="1638"/>
      <c s="353"/>
      <c r="K150" s="1162"/>
      <c s="1638"/>
      <c s="1638"/>
      <c s="1162"/>
      <c s="1162"/>
      <c s="1162"/>
      <c s="1162"/>
      <c s="1638"/>
      <c s="1162"/>
      <c s="1162"/>
      <c s="546"/>
      <c s="1162"/>
      <c s="1162"/>
      <c s="1162"/>
      <c s="1162"/>
      <c s="1162"/>
      <c s="1634"/>
      <c s="568"/>
      <c s="568"/>
      <c s="568"/>
      <c s="568"/>
      <c s="1643">
        <v>11</v>
      </c>
    </row>
    <row r="151" spans="1:32" s="1643" customFormat="1" ht="11.55" customHeight="1">
      <c r="A151" s="989"/>
      <c s="1638"/>
      <c s="1638"/>
      <c s="353"/>
      <c r="K151" s="1162"/>
      <c s="1638"/>
      <c s="1638"/>
      <c s="1162"/>
      <c s="1162"/>
      <c s="1162"/>
      <c s="1162"/>
      <c s="1638"/>
      <c s="1162"/>
      <c s="1162"/>
      <c s="546"/>
      <c s="1162"/>
      <c s="1162"/>
      <c s="1162"/>
      <c s="1162"/>
      <c s="1162"/>
      <c s="1634"/>
      <c s="568"/>
      <c s="568"/>
      <c s="568"/>
      <c s="568"/>
      <c s="1643">
        <v>11</v>
      </c>
    </row>
    <row r="152" spans="1:32" s="1643" customFormat="1" ht="11.55" customHeight="1">
      <c r="A152" s="989"/>
      <c s="1638"/>
      <c s="1638"/>
      <c s="353"/>
      <c r="K152" s="1162"/>
      <c s="1638"/>
      <c s="1638"/>
      <c s="1162"/>
      <c s="1162"/>
      <c s="1162"/>
      <c s="1162"/>
      <c s="1638"/>
      <c s="1162"/>
      <c s="1162"/>
      <c s="546"/>
      <c s="1162"/>
      <c s="1162"/>
      <c s="1162"/>
      <c s="1162"/>
      <c s="1162"/>
      <c s="1634"/>
      <c s="568"/>
      <c s="568"/>
      <c s="568"/>
      <c s="568"/>
      <c s="1643">
        <v>11</v>
      </c>
    </row>
    <row r="153" spans="1:32" s="1643" customFormat="1" ht="11.55" customHeight="1">
      <c r="A153" s="989"/>
      <c s="1638"/>
      <c s="1638"/>
      <c s="353"/>
      <c r="K153" s="1162"/>
      <c s="1638"/>
      <c s="1638"/>
      <c s="1162"/>
      <c s="1162"/>
      <c s="1162"/>
      <c s="1162"/>
      <c s="1638"/>
      <c s="1162"/>
      <c s="1162"/>
      <c s="546"/>
      <c s="1162"/>
      <c s="1162"/>
      <c s="1162"/>
      <c s="1162"/>
      <c s="1162"/>
      <c s="1634"/>
      <c s="568"/>
      <c s="568"/>
      <c s="568"/>
      <c s="568"/>
      <c s="1643">
        <v>11</v>
      </c>
    </row>
    <row r="154" spans="1:32" s="1643" customFormat="1" ht="11.55" customHeight="1">
      <c r="A154" s="989"/>
      <c s="1638"/>
      <c s="1638"/>
      <c s="353"/>
      <c r="K154" s="1162"/>
      <c s="1638"/>
      <c s="1638"/>
      <c s="1162"/>
      <c s="1162"/>
      <c s="1162"/>
      <c s="1162"/>
      <c s="1638"/>
      <c s="1162"/>
      <c s="1162"/>
      <c s="546"/>
      <c s="1162"/>
      <c s="1162"/>
      <c s="1162"/>
      <c s="1162"/>
      <c s="1162"/>
      <c s="1634"/>
      <c s="568"/>
      <c s="568"/>
      <c s="568"/>
      <c s="568"/>
      <c s="1643">
        <v>11</v>
      </c>
    </row>
    <row r="155" spans="1:32" s="1643" customFormat="1" ht="11.55" customHeight="1">
      <c r="A155" s="989"/>
      <c s="1638"/>
      <c s="1638"/>
      <c s="353"/>
      <c r="K155" s="1162"/>
      <c s="1638"/>
      <c s="1638"/>
      <c s="1162"/>
      <c s="1162"/>
      <c s="1162"/>
      <c s="1162"/>
      <c s="1638"/>
      <c s="1162"/>
      <c s="1162"/>
      <c s="546"/>
      <c s="1162"/>
      <c s="1162"/>
      <c s="1162"/>
      <c s="1162"/>
      <c s="1162"/>
      <c s="1634"/>
      <c s="568"/>
      <c s="568"/>
      <c s="568"/>
      <c s="568"/>
      <c s="1643">
        <v>11</v>
      </c>
    </row>
    <row r="156" spans="1:32" s="1643" customFormat="1" ht="11.55" customHeight="1">
      <c r="A156" s="989"/>
      <c s="1638"/>
      <c s="1638"/>
      <c s="353"/>
      <c r="K156" s="1162"/>
      <c s="1638"/>
      <c s="1638"/>
      <c s="1162"/>
      <c s="1162"/>
      <c s="1162"/>
      <c s="1162"/>
      <c s="1638"/>
      <c s="1162"/>
      <c s="1162"/>
      <c s="546"/>
      <c s="1162"/>
      <c s="1162"/>
      <c s="1162"/>
      <c s="1162"/>
      <c s="1162"/>
      <c s="1634"/>
      <c s="568"/>
      <c s="568"/>
      <c s="568"/>
      <c s="568"/>
      <c s="1643">
        <v>11</v>
      </c>
    </row>
    <row r="157" spans="1:32" s="1643" customFormat="1" ht="11.55" customHeight="1">
      <c r="A157" s="989"/>
      <c s="1638"/>
      <c s="1638"/>
      <c s="353"/>
      <c r="K157" s="1162"/>
      <c s="1638"/>
      <c s="1638"/>
      <c s="1162"/>
      <c s="1162"/>
      <c s="1162"/>
      <c s="1162"/>
      <c s="1638"/>
      <c s="1162"/>
      <c s="1162"/>
      <c s="546"/>
      <c s="1162"/>
      <c s="1162"/>
      <c s="1162"/>
      <c s="1162"/>
      <c s="1162"/>
      <c s="1634"/>
      <c s="568"/>
      <c s="568"/>
      <c s="568"/>
      <c s="568"/>
      <c s="1643">
        <v>11</v>
      </c>
    </row>
    <row r="158" spans="1:32" s="1643" customFormat="1" ht="11.55" customHeight="1">
      <c r="A158" s="989"/>
      <c s="1638"/>
      <c s="1638"/>
      <c s="353"/>
      <c r="K158" s="1162"/>
      <c s="1638"/>
      <c s="1638"/>
      <c s="1162"/>
      <c s="1162"/>
      <c s="1162"/>
      <c s="1162"/>
      <c s="1638"/>
      <c s="1162"/>
      <c s="1162"/>
      <c s="546"/>
      <c s="1162"/>
      <c s="1162"/>
      <c s="1162"/>
      <c s="1162"/>
      <c s="1162"/>
      <c s="1634"/>
      <c s="568"/>
      <c s="568"/>
      <c s="568"/>
      <c s="568"/>
      <c s="1643">
        <v>11</v>
      </c>
    </row>
    <row r="159" spans="1:32" s="1643" customFormat="1" ht="11.55" customHeight="1">
      <c r="A159" s="989"/>
      <c s="1638"/>
      <c s="1638"/>
      <c s="353"/>
      <c r="K159" s="1162"/>
      <c s="1638"/>
      <c s="1638"/>
      <c s="1162"/>
      <c s="1162"/>
      <c s="1162"/>
      <c s="1162"/>
      <c s="1638"/>
      <c s="1162"/>
      <c s="1162"/>
      <c s="546"/>
      <c s="1162"/>
      <c s="1162"/>
      <c s="1162"/>
      <c s="1162"/>
      <c s="1162"/>
      <c s="1634"/>
      <c s="568"/>
      <c s="568"/>
      <c s="568"/>
      <c s="568"/>
      <c s="1643">
        <v>11</v>
      </c>
    </row>
    <row r="160" spans="1:32" s="1643" customFormat="1" ht="11.55" customHeight="1">
      <c r="A160" s="989"/>
      <c s="1638"/>
      <c s="1638"/>
      <c s="353"/>
      <c r="K160" s="1162"/>
      <c s="1638"/>
      <c s="1638"/>
      <c s="1162"/>
      <c s="1162"/>
      <c s="1162"/>
      <c s="1162"/>
      <c s="1638"/>
      <c s="1162"/>
      <c s="1162"/>
      <c s="546"/>
      <c s="1162"/>
      <c s="1162"/>
      <c s="1162"/>
      <c s="1162"/>
      <c s="1162"/>
      <c s="1634"/>
      <c s="568"/>
      <c s="568"/>
      <c s="568"/>
      <c s="568"/>
      <c s="1643">
        <v>11</v>
      </c>
    </row>
    <row r="161" spans="1:32" s="1643" customFormat="1" ht="11.55" customHeight="1">
      <c r="A161" s="989"/>
      <c s="1638"/>
      <c s="1638"/>
      <c s="353"/>
      <c r="K161" s="1162"/>
      <c s="1638"/>
      <c s="1638"/>
      <c s="1162"/>
      <c s="1162"/>
      <c s="1162"/>
      <c s="1162"/>
      <c s="1638"/>
      <c s="1162"/>
      <c s="1162"/>
      <c s="546"/>
      <c s="1162"/>
      <c s="1162"/>
      <c s="1162"/>
      <c s="1162"/>
      <c s="1162"/>
      <c s="1634"/>
      <c s="568"/>
      <c s="568"/>
      <c s="568"/>
      <c s="568"/>
      <c s="1643">
        <v>11</v>
      </c>
    </row>
    <row r="162" spans="1:32" s="1643" customFormat="1" ht="11.55" customHeight="1">
      <c r="A162" s="989"/>
      <c s="1638"/>
      <c s="1638"/>
      <c s="353"/>
      <c r="K162" s="1162"/>
      <c s="1638"/>
      <c s="1638"/>
      <c s="1162"/>
      <c s="1162"/>
      <c s="1162"/>
      <c s="1162"/>
      <c s="1638"/>
      <c s="1162"/>
      <c s="1162"/>
      <c s="546"/>
      <c s="1162"/>
      <c s="1162"/>
      <c s="1162"/>
      <c s="1162"/>
      <c s="1162"/>
      <c s="1634"/>
      <c s="568"/>
      <c s="568"/>
      <c s="568"/>
      <c s="568"/>
      <c s="1643">
        <v>11</v>
      </c>
    </row>
    <row r="163" spans="1:32" s="1643" customFormat="1" ht="11.55" customHeight="1">
      <c r="A163" s="989"/>
      <c s="1638"/>
      <c s="1638"/>
      <c s="353"/>
      <c r="K163" s="1162"/>
      <c s="1638"/>
      <c s="1638"/>
      <c s="1162"/>
      <c s="1162"/>
      <c s="1162"/>
      <c s="1162"/>
      <c s="1638"/>
      <c s="1162"/>
      <c s="1162"/>
      <c s="546"/>
      <c s="1162"/>
      <c s="1162"/>
      <c s="1162"/>
      <c s="1162"/>
      <c s="1162"/>
      <c s="1634"/>
      <c s="568"/>
      <c s="568"/>
      <c s="568"/>
      <c s="568"/>
      <c s="1643">
        <v>11</v>
      </c>
    </row>
    <row r="164" spans="1:32" s="1643" customFormat="1" ht="11.55" customHeight="1">
      <c r="A164" s="989"/>
      <c s="1638"/>
      <c s="1638"/>
      <c s="353"/>
      <c r="K164" s="1162"/>
      <c s="1638"/>
      <c s="1638"/>
      <c s="1162"/>
      <c s="1162"/>
      <c s="1162"/>
      <c s="1162"/>
      <c s="1638"/>
      <c s="1162"/>
      <c s="1162"/>
      <c s="546"/>
      <c s="1162"/>
      <c s="1162"/>
      <c s="1162"/>
      <c s="1162"/>
      <c s="1162"/>
      <c s="1634"/>
      <c s="568"/>
      <c s="568"/>
      <c s="568"/>
      <c s="568"/>
      <c s="1643">
        <v>11</v>
      </c>
    </row>
    <row r="165" spans="1:32" s="1643" customFormat="1" ht="11.55" customHeight="1">
      <c r="A165" s="989"/>
      <c s="1638"/>
      <c s="1638"/>
      <c s="353"/>
      <c r="K165" s="1162"/>
      <c s="1638"/>
      <c s="1638"/>
      <c s="1162"/>
      <c s="1162"/>
      <c s="1162"/>
      <c s="1162"/>
      <c s="1638"/>
      <c s="1162"/>
      <c s="1162"/>
      <c s="546"/>
      <c s="1162"/>
      <c s="1162"/>
      <c s="1162"/>
      <c s="1162"/>
      <c s="1162"/>
      <c s="1634"/>
      <c s="568"/>
      <c s="568"/>
      <c s="568"/>
      <c s="568"/>
      <c s="1643">
        <v>11</v>
      </c>
    </row>
    <row r="166" spans="1:32" s="1643" customFormat="1" ht="11.55" customHeight="1">
      <c r="A166" s="989"/>
      <c s="1638"/>
      <c s="1638"/>
      <c s="353"/>
      <c r="K166" s="1162"/>
      <c s="1638"/>
      <c s="1638"/>
      <c s="1162"/>
      <c s="1162"/>
      <c s="1162"/>
      <c s="1162"/>
      <c s="1638"/>
      <c s="1162"/>
      <c s="1162"/>
      <c s="546"/>
      <c s="1162"/>
      <c s="1162"/>
      <c s="1162"/>
      <c s="1162"/>
      <c s="1162"/>
      <c s="1634"/>
      <c s="568"/>
      <c s="568"/>
      <c s="568"/>
      <c s="568"/>
      <c s="1643">
        <v>11</v>
      </c>
    </row>
    <row r="167" spans="1:32" s="1643" customFormat="1" ht="11.55" customHeight="1">
      <c r="A167" s="989"/>
      <c s="1638"/>
      <c s="1638"/>
      <c s="353"/>
      <c r="K167" s="1162"/>
      <c s="1638"/>
      <c s="1638"/>
      <c s="1162"/>
      <c s="1162"/>
      <c s="1162"/>
      <c s="1162"/>
      <c s="1638"/>
      <c s="1162"/>
      <c s="1162"/>
      <c s="546"/>
      <c s="1162"/>
      <c s="1162"/>
      <c s="1162"/>
      <c s="1162"/>
      <c s="1162"/>
      <c s="1634"/>
      <c s="568"/>
      <c s="568"/>
      <c s="568"/>
      <c s="568"/>
      <c s="1643">
        <v>11</v>
      </c>
    </row>
    <row r="168" spans="1:32" s="1643" customFormat="1" ht="11.55" customHeight="1">
      <c r="A168" s="989"/>
      <c s="1638"/>
      <c s="1638"/>
      <c s="353"/>
      <c r="K168" s="1162"/>
      <c s="1638"/>
      <c s="1638"/>
      <c s="1162"/>
      <c s="1162"/>
      <c s="1162"/>
      <c s="1162"/>
      <c s="1638"/>
      <c s="1162"/>
      <c s="1162"/>
      <c s="546"/>
      <c s="1162"/>
      <c s="1162"/>
      <c s="1162"/>
      <c s="1162"/>
      <c s="1162"/>
      <c s="1634"/>
      <c s="568"/>
      <c s="568"/>
      <c s="568"/>
      <c s="568"/>
      <c s="1643">
        <v>11</v>
      </c>
    </row>
    <row r="169" spans="1:32" s="1643" customFormat="1" ht="11.55" customHeight="1">
      <c r="A169" s="989"/>
      <c s="1638"/>
      <c s="1638"/>
      <c s="353"/>
      <c r="K169" s="1162"/>
      <c s="1638"/>
      <c s="1638"/>
      <c s="1162"/>
      <c s="1162"/>
      <c s="1162"/>
      <c s="1162"/>
      <c s="1638"/>
      <c s="1162"/>
      <c s="1162"/>
      <c s="546"/>
      <c s="1162"/>
      <c s="1162"/>
      <c s="1162"/>
      <c s="1162"/>
      <c s="1162"/>
      <c s="1634"/>
      <c s="568"/>
      <c s="568"/>
      <c s="568"/>
      <c s="568"/>
      <c s="1643">
        <v>11</v>
      </c>
    </row>
    <row r="170" spans="1:32" s="1643" customFormat="1" ht="11.55" customHeight="1">
      <c r="A170" s="989"/>
      <c s="1638"/>
      <c s="1638"/>
      <c s="353"/>
      <c r="K170" s="1162"/>
      <c s="1638"/>
      <c s="1638"/>
      <c s="1162"/>
      <c s="1162"/>
      <c s="1162"/>
      <c s="1162"/>
      <c s="1638"/>
      <c s="1162"/>
      <c s="1162"/>
      <c s="546"/>
      <c s="1162"/>
      <c s="1162"/>
      <c s="1162"/>
      <c s="1162"/>
      <c s="1162"/>
      <c s="1634"/>
      <c s="568"/>
      <c s="568"/>
      <c s="568"/>
      <c s="568"/>
      <c s="1643">
        <v>11</v>
      </c>
    </row>
    <row r="171" spans="1:32" s="1643" customFormat="1" ht="11.55" customHeight="1">
      <c r="A171" s="989"/>
      <c s="1638"/>
      <c s="1638"/>
      <c s="353"/>
      <c r="K171" s="1162"/>
      <c s="1638"/>
      <c s="1638"/>
      <c s="1162"/>
      <c s="1162"/>
      <c s="1162"/>
      <c s="1162"/>
      <c s="1638"/>
      <c s="1162"/>
      <c s="1162"/>
      <c s="546"/>
      <c s="1162"/>
      <c s="1162"/>
      <c s="1162"/>
      <c s="1162"/>
      <c s="1162"/>
      <c s="1634"/>
      <c s="568"/>
      <c s="568"/>
      <c s="568"/>
      <c s="568"/>
      <c s="1643">
        <v>11</v>
      </c>
    </row>
    <row r="172" spans="1:32" s="1643" customFormat="1" ht="11.55" customHeight="1">
      <c r="A172" s="989"/>
      <c s="1638"/>
      <c s="1638"/>
      <c s="353"/>
      <c r="K172" s="1162"/>
      <c s="1638"/>
      <c s="1638"/>
      <c s="1162"/>
      <c s="1162"/>
      <c s="1162"/>
      <c s="1162"/>
      <c s="1638"/>
      <c s="1162"/>
      <c s="1162"/>
      <c s="546"/>
      <c s="1162"/>
      <c s="1162"/>
      <c s="1162"/>
      <c s="1162"/>
      <c s="1162"/>
      <c s="1634"/>
      <c s="568"/>
      <c s="568"/>
      <c s="568"/>
      <c s="568"/>
      <c s="1643">
        <v>11</v>
      </c>
    </row>
    <row r="173" spans="1:32" s="1643" customFormat="1" ht="11.55" customHeight="1">
      <c r="A173" s="989"/>
      <c s="1638"/>
      <c s="1638"/>
      <c s="353"/>
      <c r="K173" s="1162"/>
      <c s="1638"/>
      <c s="1638"/>
      <c s="1162"/>
      <c s="1162"/>
      <c s="1162"/>
      <c s="1162"/>
      <c s="1638"/>
      <c s="1162"/>
      <c s="1162"/>
      <c s="546"/>
      <c s="1162"/>
      <c s="1162"/>
      <c s="1162"/>
      <c s="1162"/>
      <c s="1162"/>
      <c s="1634"/>
      <c s="568"/>
      <c s="568"/>
      <c s="568"/>
      <c s="568"/>
      <c s="1643">
        <v>11</v>
      </c>
    </row>
    <row r="174" spans="1:32" s="1643" customFormat="1" ht="11.55" customHeight="1">
      <c r="A174" s="989"/>
      <c s="1638"/>
      <c s="1638"/>
      <c s="353"/>
      <c r="K174" s="1162"/>
      <c s="1638"/>
      <c s="1638"/>
      <c s="1162"/>
      <c s="1162"/>
      <c s="1162"/>
      <c s="1162"/>
      <c s="1638"/>
      <c s="1162"/>
      <c s="1162"/>
      <c s="546"/>
      <c s="1162"/>
      <c s="1162"/>
      <c s="1162"/>
      <c s="1162"/>
      <c s="1162"/>
      <c s="1634"/>
      <c s="568"/>
      <c s="568"/>
      <c s="568"/>
      <c s="568"/>
      <c s="1643">
        <v>11</v>
      </c>
    </row>
    <row r="175" spans="1:32" s="1643" customFormat="1" ht="11.55" customHeight="1">
      <c r="A175" s="989"/>
      <c s="1638"/>
      <c s="1638"/>
      <c s="353"/>
      <c r="K175" s="1162"/>
      <c s="1638"/>
      <c s="1638"/>
      <c s="1162"/>
      <c s="1162"/>
      <c s="1162"/>
      <c s="1162"/>
      <c s="1638"/>
      <c s="1162"/>
      <c s="1162"/>
      <c s="546"/>
      <c s="1162"/>
      <c s="1162"/>
      <c s="1162"/>
      <c s="1162"/>
      <c s="1162"/>
      <c s="1634"/>
      <c s="568"/>
      <c s="568"/>
      <c s="568"/>
      <c s="568"/>
      <c s="1643">
        <v>11</v>
      </c>
    </row>
    <row r="176" spans="1:32" s="1643" customFormat="1" ht="11.55" customHeight="1">
      <c r="A176" s="989"/>
      <c s="1638"/>
      <c s="1638"/>
      <c s="353"/>
      <c r="K176" s="1162"/>
      <c s="1638"/>
      <c s="1638"/>
      <c s="1162"/>
      <c s="1162"/>
      <c s="1162"/>
      <c s="1162"/>
      <c s="1638"/>
      <c s="1162"/>
      <c s="1162"/>
      <c s="546"/>
      <c s="1162"/>
      <c s="1162"/>
      <c s="1162"/>
      <c s="1162"/>
      <c s="1162"/>
      <c s="1634"/>
      <c s="568"/>
      <c s="568"/>
      <c s="568"/>
      <c s="568"/>
      <c s="1643">
        <v>11</v>
      </c>
    </row>
    <row r="177" spans="1:32" s="1643" customFormat="1" ht="11.55" customHeight="1">
      <c r="A177" s="989"/>
      <c s="1638"/>
      <c s="1638"/>
      <c s="353"/>
      <c r="K177" s="1162"/>
      <c s="1638"/>
      <c s="1638"/>
      <c s="1162"/>
      <c s="1162"/>
      <c s="1162"/>
      <c s="1162"/>
      <c s="1638"/>
      <c s="1162"/>
      <c s="1162"/>
      <c s="546"/>
      <c s="1162"/>
      <c s="1162"/>
      <c s="1162"/>
      <c s="1162"/>
      <c s="1162"/>
      <c s="1634"/>
      <c s="568"/>
      <c s="568"/>
      <c s="568"/>
      <c s="568"/>
      <c s="1643">
        <v>11</v>
      </c>
    </row>
    <row r="178" spans="1:32" s="1643" customFormat="1" ht="11.55" customHeight="1">
      <c r="A178" s="989"/>
      <c s="1638"/>
      <c s="1638"/>
      <c s="353"/>
      <c r="K178" s="1162"/>
      <c s="1638"/>
      <c s="1638"/>
      <c s="1162"/>
      <c s="1162"/>
      <c s="1162"/>
      <c s="1162"/>
      <c s="1638"/>
      <c s="1162"/>
      <c s="1162"/>
      <c s="546"/>
      <c s="1162"/>
      <c s="1162"/>
      <c s="1162"/>
      <c s="1162"/>
      <c s="1162"/>
      <c s="1634"/>
      <c s="568"/>
      <c s="568"/>
      <c s="568"/>
      <c s="568"/>
      <c s="1643">
        <v>11</v>
      </c>
    </row>
    <row r="179" spans="1:32" s="1643" customFormat="1" ht="11.55" customHeight="1">
      <c r="A179" s="989"/>
      <c s="1638"/>
      <c s="1638"/>
      <c s="353"/>
      <c r="K179" s="1162"/>
      <c s="1638"/>
      <c s="1638"/>
      <c s="1162"/>
      <c s="1162"/>
      <c s="1162"/>
      <c s="1162"/>
      <c s="1638"/>
      <c s="1162"/>
      <c s="1162"/>
      <c s="546"/>
      <c s="1162"/>
      <c s="1162"/>
      <c s="1162"/>
      <c s="1162"/>
      <c s="1162"/>
      <c s="1634"/>
      <c s="568"/>
      <c s="568"/>
      <c s="568"/>
      <c s="568"/>
      <c s="1643">
        <v>11</v>
      </c>
    </row>
    <row r="180" spans="1:32" s="1643" customFormat="1" ht="11.55" customHeight="1">
      <c r="A180" s="989"/>
      <c s="1638"/>
      <c s="1638"/>
      <c s="353"/>
      <c r="K180" s="1162"/>
      <c s="1638"/>
      <c s="1638"/>
      <c s="1162"/>
      <c s="1162"/>
      <c s="1162"/>
      <c s="1162"/>
      <c s="1638"/>
      <c s="1162"/>
      <c s="1162"/>
      <c s="546"/>
      <c s="1162"/>
      <c s="1162"/>
      <c s="1162"/>
      <c s="1162"/>
      <c s="1162"/>
      <c s="1634"/>
      <c s="568"/>
      <c s="568"/>
      <c s="568"/>
      <c s="568"/>
      <c s="1643">
        <v>11</v>
      </c>
    </row>
    <row r="181" spans="1:32" s="1643" customFormat="1" ht="11.55" customHeight="1">
      <c r="A181" s="989"/>
      <c s="1638"/>
      <c s="1638"/>
      <c s="353"/>
      <c r="K181" s="1162"/>
      <c s="1638"/>
      <c s="1638"/>
      <c s="1162"/>
      <c s="1162"/>
      <c s="1162"/>
      <c s="1162"/>
      <c s="1638"/>
      <c s="1162"/>
      <c s="1162"/>
      <c s="546"/>
      <c s="1162"/>
      <c s="1162"/>
      <c s="1162"/>
      <c s="1162"/>
      <c s="1162"/>
      <c s="1634"/>
      <c s="568"/>
      <c s="568"/>
      <c s="568"/>
      <c s="568"/>
      <c s="1643">
        <v>11</v>
      </c>
    </row>
    <row r="182" spans="1:32" s="1643" customFormat="1" ht="11.55" customHeight="1">
      <c r="A182" s="989"/>
      <c s="1638"/>
      <c s="1638"/>
      <c s="353"/>
      <c r="K182" s="1162"/>
      <c s="1638"/>
      <c s="1638"/>
      <c s="1162"/>
      <c s="1162"/>
      <c s="1162"/>
      <c s="1162"/>
      <c s="1638"/>
      <c s="1162"/>
      <c s="1162"/>
      <c s="546"/>
      <c s="1162"/>
      <c s="1162"/>
      <c s="1162"/>
      <c s="1162"/>
      <c s="1162"/>
      <c s="1634"/>
      <c s="568"/>
      <c s="568"/>
      <c s="568"/>
      <c s="568"/>
      <c s="1643">
        <v>11</v>
      </c>
    </row>
    <row r="183" spans="1:32" s="1643" customFormat="1" ht="11.55" customHeight="1">
      <c r="A183" s="989"/>
      <c s="1638"/>
      <c s="1638"/>
      <c s="353"/>
      <c r="K183" s="1162"/>
      <c s="1638"/>
      <c s="1638"/>
      <c s="1162"/>
      <c s="1162"/>
      <c s="1162"/>
      <c s="1162"/>
      <c s="1638"/>
      <c s="1162"/>
      <c s="1162"/>
      <c s="546"/>
      <c s="1162"/>
      <c s="1162"/>
      <c s="1162"/>
      <c s="1162"/>
      <c s="1162"/>
      <c s="1634"/>
      <c s="568"/>
      <c s="568"/>
      <c s="568"/>
      <c s="568"/>
      <c s="1643">
        <v>11</v>
      </c>
    </row>
    <row r="184" spans="1:32" s="1643" customFormat="1" ht="11.55" customHeight="1">
      <c r="A184" s="989"/>
      <c s="1638"/>
      <c s="1638"/>
      <c s="353"/>
      <c r="K184" s="1162"/>
      <c s="1638"/>
      <c s="1638"/>
      <c s="1162"/>
      <c s="1162"/>
      <c s="1162"/>
      <c s="1162"/>
      <c s="1638"/>
      <c s="1162"/>
      <c s="1162"/>
      <c s="546"/>
      <c s="1162"/>
      <c s="1162"/>
      <c s="1162"/>
      <c s="1162"/>
      <c s="1162"/>
      <c s="1634"/>
      <c s="568"/>
      <c s="568"/>
      <c s="568"/>
      <c s="568"/>
      <c s="1643">
        <v>11</v>
      </c>
    </row>
    <row r="185" spans="1:32" s="1643" customFormat="1" ht="11.55" customHeight="1">
      <c r="A185" s="989"/>
      <c s="1638"/>
      <c s="1638"/>
      <c s="353"/>
      <c r="K185" s="1162"/>
      <c s="1638"/>
      <c s="1638"/>
      <c s="1162"/>
      <c s="1162"/>
      <c s="1162"/>
      <c s="1162"/>
      <c s="1638"/>
      <c s="1162"/>
      <c s="1162"/>
      <c s="546"/>
      <c s="1162"/>
      <c s="1162"/>
      <c s="1162"/>
      <c s="1162"/>
      <c s="1162"/>
      <c s="1634"/>
      <c s="568"/>
      <c s="568"/>
      <c s="568"/>
      <c s="568"/>
      <c s="1643">
        <v>11</v>
      </c>
    </row>
    <row r="186" spans="1:32" s="1643" customFormat="1" ht="11.55" customHeight="1">
      <c r="A186" s="989"/>
      <c s="1638"/>
      <c s="1638"/>
      <c s="353"/>
      <c r="K186" s="1162"/>
      <c s="1638"/>
      <c s="1638"/>
      <c s="1162"/>
      <c s="1162"/>
      <c s="1162"/>
      <c s="1162"/>
      <c s="1638"/>
      <c s="1162"/>
      <c s="1162"/>
      <c s="546"/>
      <c s="1162"/>
      <c s="1162"/>
      <c s="1162"/>
      <c s="1162"/>
      <c s="1162"/>
      <c s="1634"/>
      <c s="568"/>
      <c s="568"/>
      <c s="568"/>
      <c s="568"/>
      <c s="1643">
        <v>11</v>
      </c>
    </row>
    <row r="187" spans="1:32" s="1643" customFormat="1" ht="11.55" customHeight="1">
      <c r="A187" s="989"/>
      <c s="1638"/>
      <c s="1638"/>
      <c s="353"/>
      <c r="K187" s="1162"/>
      <c s="1638"/>
      <c s="1638"/>
      <c s="1162"/>
      <c s="1162"/>
      <c s="1162"/>
      <c s="1162"/>
      <c s="1638"/>
      <c s="1162"/>
      <c s="1162"/>
      <c s="546"/>
      <c s="1162"/>
      <c s="1162"/>
      <c s="1162"/>
      <c s="1162"/>
      <c s="1162"/>
      <c s="1634"/>
      <c s="568"/>
      <c s="568"/>
      <c s="568"/>
      <c s="568"/>
      <c s="1643">
        <v>11</v>
      </c>
    </row>
    <row r="188" spans="1:32" s="1643" customFormat="1" ht="11.55" customHeight="1">
      <c r="A188" s="989"/>
      <c s="1638"/>
      <c s="1638"/>
      <c s="353"/>
      <c r="K188" s="1162"/>
      <c s="1638"/>
      <c s="1638"/>
      <c s="1162"/>
      <c s="1162"/>
      <c s="1162"/>
      <c s="1162"/>
      <c s="1638"/>
      <c s="1162"/>
      <c s="1162"/>
      <c s="546"/>
      <c s="1162"/>
      <c s="1162"/>
      <c s="1162"/>
      <c s="1162"/>
      <c s="1162"/>
      <c s="1634"/>
      <c s="568"/>
      <c s="568"/>
      <c s="568"/>
      <c s="568"/>
      <c s="1643">
        <v>11</v>
      </c>
    </row>
    <row r="189" spans="1:32" s="1643" customFormat="1" ht="11.55" customHeight="1">
      <c r="A189" s="989"/>
      <c s="1638"/>
      <c s="1638"/>
      <c s="353"/>
      <c r="K189" s="1162"/>
      <c s="1638"/>
      <c s="1638"/>
      <c s="1162"/>
      <c s="1162"/>
      <c s="1162"/>
      <c s="1162"/>
      <c s="1638"/>
      <c s="1162"/>
      <c s="1162"/>
      <c s="546"/>
      <c s="1162"/>
      <c s="1162"/>
      <c s="1162"/>
      <c s="1162"/>
      <c s="1162"/>
      <c s="1634"/>
      <c s="568"/>
      <c s="568"/>
      <c s="568"/>
      <c s="568"/>
      <c s="1643">
        <v>11</v>
      </c>
    </row>
    <row r="190" spans="1:32" s="1643" customFormat="1" ht="11.55" customHeight="1">
      <c r="A190" s="989"/>
      <c s="1638"/>
      <c s="1638"/>
      <c s="353"/>
      <c r="K190" s="1162"/>
      <c s="1638"/>
      <c s="1638"/>
      <c s="1162"/>
      <c s="1162"/>
      <c s="1162"/>
      <c s="1162"/>
      <c s="1638"/>
      <c s="1162"/>
      <c s="1162"/>
      <c s="546"/>
      <c s="1162"/>
      <c s="1162"/>
      <c s="1162"/>
      <c s="1162"/>
      <c s="1162"/>
      <c s="1634"/>
      <c s="568"/>
      <c s="568"/>
      <c s="568"/>
      <c s="568"/>
      <c s="1643">
        <v>11</v>
      </c>
    </row>
    <row r="191" spans="1:32" s="1643" customFormat="1" ht="11.55" customHeight="1">
      <c r="A191" s="989"/>
      <c s="1638"/>
      <c s="1638"/>
      <c s="353"/>
      <c r="K191" s="1162"/>
      <c s="1638"/>
      <c s="1638"/>
      <c s="1162"/>
      <c s="1162"/>
      <c s="1162"/>
      <c s="1162"/>
      <c s="1638"/>
      <c s="1162"/>
      <c s="1162"/>
      <c s="546"/>
      <c s="1162"/>
      <c s="1162"/>
      <c s="1162"/>
      <c s="1162"/>
      <c s="1162"/>
      <c s="1634"/>
      <c s="568"/>
      <c s="568"/>
      <c s="568"/>
      <c s="568"/>
      <c s="1643">
        <v>11</v>
      </c>
    </row>
    <row r="192" spans="1:32" s="1643" customFormat="1" ht="11.55" customHeight="1">
      <c r="A192" s="989"/>
      <c s="1638"/>
      <c s="1638"/>
      <c s="353"/>
      <c r="K192" s="1162"/>
      <c s="1638"/>
      <c s="1638"/>
      <c s="1162"/>
      <c s="1162"/>
      <c s="1162"/>
      <c s="1162"/>
      <c s="1638"/>
      <c s="1162"/>
      <c s="1162"/>
      <c s="546"/>
      <c s="1162"/>
      <c s="1162"/>
      <c s="1162"/>
      <c s="1162"/>
      <c s="1162"/>
      <c s="1634"/>
      <c s="568"/>
      <c s="568"/>
      <c s="568"/>
      <c s="568"/>
      <c s="1643">
        <v>11</v>
      </c>
    </row>
    <row r="193" spans="1:32" s="1643" customFormat="1" ht="11.55" customHeight="1">
      <c r="A193" s="989"/>
      <c s="1638"/>
      <c s="1638"/>
      <c s="353"/>
      <c r="K193" s="1162"/>
      <c s="1638"/>
      <c s="1638"/>
      <c s="1162"/>
      <c s="1162"/>
      <c s="1162"/>
      <c s="1162"/>
      <c s="1638"/>
      <c s="1162"/>
      <c s="1162"/>
      <c s="546"/>
      <c s="1162"/>
      <c s="1162"/>
      <c s="1162"/>
      <c s="1162"/>
      <c s="1162"/>
      <c s="1634"/>
      <c s="568"/>
      <c s="568"/>
      <c s="568"/>
      <c s="568"/>
      <c s="1643">
        <v>11</v>
      </c>
    </row>
    <row r="194" spans="1:32" s="1643" customFormat="1" ht="11.55" customHeight="1">
      <c r="A194" s="989"/>
      <c s="1638"/>
      <c s="1638"/>
      <c s="353"/>
      <c r="K194" s="1162"/>
      <c s="1638"/>
      <c s="1638"/>
      <c s="1162"/>
      <c s="1162"/>
      <c s="1162"/>
      <c s="1162"/>
      <c s="1638"/>
      <c s="1162"/>
      <c s="1162"/>
      <c s="546"/>
      <c s="1162"/>
      <c s="1162"/>
      <c s="1162"/>
      <c s="1162"/>
      <c s="1162"/>
      <c s="1634"/>
      <c s="568"/>
      <c s="568"/>
      <c s="568"/>
      <c s="568"/>
      <c s="1643">
        <v>11</v>
      </c>
    </row>
    <row r="195" spans="1:32" s="1643" customFormat="1" ht="11.55" customHeight="1">
      <c r="A195" s="989"/>
      <c s="1638"/>
      <c s="1638"/>
      <c s="353"/>
      <c r="K195" s="1162"/>
      <c s="1638"/>
      <c s="1638"/>
      <c s="1162"/>
      <c s="1162"/>
      <c s="1162"/>
      <c s="1162"/>
      <c s="1638"/>
      <c s="1162"/>
      <c s="1162"/>
      <c s="546"/>
      <c s="1162"/>
      <c s="1162"/>
      <c s="1162"/>
      <c s="1162"/>
      <c s="1162"/>
      <c s="1634"/>
      <c s="568"/>
      <c s="568"/>
      <c s="568"/>
      <c s="568"/>
      <c s="1643">
        <v>11</v>
      </c>
    </row>
    <row r="196" spans="1:32" s="1643" customFormat="1" ht="11.55" customHeight="1">
      <c r="A196" s="989"/>
      <c s="1638"/>
      <c s="1638"/>
      <c s="353"/>
      <c r="K196" s="1162"/>
      <c s="1638"/>
      <c s="1638"/>
      <c s="1162"/>
      <c s="1162"/>
      <c s="1162"/>
      <c s="1162"/>
      <c s="1638"/>
      <c s="1162"/>
      <c s="1162"/>
      <c s="546"/>
      <c s="1162"/>
      <c s="1162"/>
      <c s="1162"/>
      <c s="1162"/>
      <c s="1162"/>
      <c s="1634"/>
      <c s="568"/>
      <c s="568"/>
      <c s="568"/>
      <c s="568"/>
      <c s="1643">
        <v>11</v>
      </c>
    </row>
    <row r="197" spans="1:32" s="1643" customFormat="1" ht="11.55" customHeight="1">
      <c r="A197" s="989"/>
      <c s="1638"/>
      <c s="1638"/>
      <c s="353"/>
      <c r="K197" s="1162"/>
      <c s="1638"/>
      <c s="1638"/>
      <c s="1162"/>
      <c s="1162"/>
      <c s="1162"/>
      <c s="1162"/>
      <c s="1638"/>
      <c s="1162"/>
      <c s="1162"/>
      <c s="546"/>
      <c s="1162"/>
      <c s="1162"/>
      <c s="1162"/>
      <c s="1162"/>
      <c s="1162"/>
      <c s="1634"/>
      <c s="568"/>
      <c s="568"/>
      <c s="568"/>
      <c s="568"/>
      <c s="1643">
        <v>11</v>
      </c>
    </row>
    <row r="198" spans="1:32" s="1643" customFormat="1" ht="11.55" customHeight="1">
      <c r="A198" s="989"/>
      <c s="1638"/>
      <c s="1638"/>
      <c s="353"/>
      <c r="K198" s="1162"/>
      <c s="1638"/>
      <c s="1638"/>
      <c s="1162"/>
      <c s="1162"/>
      <c s="1162"/>
      <c s="1162"/>
      <c s="1638"/>
      <c s="1162"/>
      <c s="1162"/>
      <c s="546"/>
      <c s="1162"/>
      <c s="1162"/>
      <c s="1162"/>
      <c s="1162"/>
      <c s="1162"/>
      <c s="1634"/>
      <c s="568"/>
      <c s="568"/>
      <c s="568"/>
      <c s="568"/>
      <c s="1643">
        <v>11</v>
      </c>
    </row>
    <row r="199" spans="1:32" s="1643" customFormat="1" ht="11.55" customHeight="1">
      <c r="A199" s="989"/>
      <c s="1638"/>
      <c s="1638"/>
      <c s="353"/>
      <c r="K199" s="1162"/>
      <c s="1638"/>
      <c s="1638"/>
      <c s="1162"/>
      <c s="1162"/>
      <c s="1162"/>
      <c s="1162"/>
      <c s="1638"/>
      <c s="1162"/>
      <c s="1162"/>
      <c s="546"/>
      <c s="1162"/>
      <c s="1162"/>
      <c s="1162"/>
      <c s="1162"/>
      <c s="1162"/>
      <c s="1634"/>
      <c s="568"/>
      <c s="568"/>
      <c s="568"/>
      <c s="568"/>
      <c s="1643">
        <v>11</v>
      </c>
    </row>
    <row r="200" spans="1:32" s="1643" customFormat="1" ht="11.55" customHeight="1">
      <c r="A200" s="989"/>
      <c s="1638"/>
      <c s="1638"/>
      <c s="353"/>
      <c r="K200" s="1162"/>
      <c s="1638"/>
      <c s="1638"/>
      <c s="1162"/>
      <c s="1162"/>
      <c s="1162"/>
      <c s="1162"/>
      <c s="1638"/>
      <c s="1162"/>
      <c s="1162"/>
      <c s="546"/>
      <c s="1162"/>
      <c s="1162"/>
      <c s="1162"/>
      <c s="1162"/>
      <c s="1162"/>
      <c s="1634"/>
      <c s="568"/>
      <c s="568"/>
      <c s="568"/>
      <c s="568"/>
      <c s="1643">
        <v>11</v>
      </c>
    </row>
    <row r="201" spans="1:32" s="1643" customFormat="1" ht="11.55" customHeight="1">
      <c r="A201" s="989"/>
      <c s="1638"/>
      <c s="1638"/>
      <c s="353"/>
      <c r="K201" s="1162"/>
      <c s="1638"/>
      <c s="1638"/>
      <c s="1162"/>
      <c s="1162"/>
      <c s="1162"/>
      <c s="1162"/>
      <c s="1638"/>
      <c s="1162"/>
      <c s="1162"/>
      <c s="546"/>
      <c s="1162"/>
      <c s="1162"/>
      <c s="1162"/>
      <c s="1162"/>
      <c s="1162"/>
      <c s="1634"/>
      <c s="568"/>
      <c s="568"/>
      <c s="568"/>
      <c s="568"/>
      <c s="1643">
        <v>11</v>
      </c>
    </row>
    <row r="202" spans="1:32" s="1643" customFormat="1" ht="11.55" customHeight="1">
      <c r="A202" s="989"/>
      <c s="1638"/>
      <c s="1638"/>
      <c s="353"/>
      <c r="K202" s="1162"/>
      <c s="1638"/>
      <c s="1638"/>
      <c s="1162"/>
      <c s="1162"/>
      <c s="1162"/>
      <c s="1162"/>
      <c s="1638"/>
      <c s="1162"/>
      <c s="1162"/>
      <c s="546"/>
      <c s="1162"/>
      <c s="1162"/>
      <c s="1162"/>
      <c s="1162"/>
      <c s="1162"/>
      <c s="1634"/>
      <c s="568"/>
      <c s="568"/>
      <c s="568"/>
      <c s="568"/>
      <c s="1643">
        <v>11</v>
      </c>
    </row>
    <row r="203" spans="32:32" ht="11.55" customHeight="1">
      <c r="AF203" s="1633">
        <v>11</v>
      </c>
    </row>
    <row r="204" spans="32:32" ht="11.55" customHeight="1">
      <c r="AF204" s="1633">
        <v>11</v>
      </c>
    </row>
    <row r="205" spans="32:32" ht="11.55" customHeight="1">
      <c r="AF205" s="1633">
        <v>11</v>
      </c>
    </row>
    <row r="206" spans="1:32" ht="11.55" customHeight="1">
      <c r="A206" s="992"/>
      <c s="1633"/>
      <c r="D206" s="1633"/>
      <c r="K206" s="1633"/>
      <c r="N206" s="1633"/>
      <c s="1633"/>
      <c s="1633"/>
      <c s="1633"/>
      <c r="S206" s="1633"/>
      <c s="1633"/>
      <c s="1633"/>
      <c s="1633"/>
      <c s="1633"/>
      <c s="1633"/>
      <c s="1633"/>
      <c s="1633"/>
      <c s="1633"/>
      <c s="1633"/>
      <c s="1633"/>
      <c s="1633"/>
      <c s="1633"/>
      <c s="1633">
        <v>11</v>
      </c>
    </row>
    <row r="207" spans="1:32" ht="11.55" customHeight="1">
      <c r="A207" s="992"/>
      <c s="1633"/>
      <c r="D207" s="1633"/>
      <c r="K207" s="1633"/>
      <c r="N207" s="1633"/>
      <c s="1633"/>
      <c s="1633"/>
      <c s="1633"/>
      <c r="S207" s="1633"/>
      <c s="1633"/>
      <c s="1633"/>
      <c s="1633"/>
      <c s="1633"/>
      <c s="1633"/>
      <c s="1633"/>
      <c s="1633"/>
      <c s="1633"/>
      <c s="1633"/>
      <c s="1633"/>
      <c s="1633"/>
      <c s="1633"/>
      <c s="1633">
        <v>11</v>
      </c>
    </row>
    <row r="208" spans="1:32" ht="11.55" customHeight="1">
      <c r="A208" s="992"/>
      <c s="1633"/>
      <c r="D208" s="1633"/>
      <c r="K208" s="1633"/>
      <c r="N208" s="1633"/>
      <c s="1633"/>
      <c s="1633"/>
      <c s="1633"/>
      <c r="S208" s="1633"/>
      <c s="1633"/>
      <c s="1633"/>
      <c s="1633"/>
      <c s="1633"/>
      <c s="1633"/>
      <c s="1633"/>
      <c s="1633"/>
      <c s="1633"/>
      <c s="1633"/>
      <c s="1633"/>
      <c s="1633"/>
      <c s="1633"/>
      <c s="1633">
        <v>11</v>
      </c>
    </row>
    <row r="209" spans="1:32" ht="11.55" customHeight="1">
      <c r="A209" s="992"/>
      <c s="1633"/>
      <c r="D209" s="1633"/>
      <c r="K209" s="1633"/>
      <c r="N209" s="1633"/>
      <c s="1633"/>
      <c s="1633"/>
      <c s="1633"/>
      <c r="S209" s="1633"/>
      <c s="1633"/>
      <c s="1633"/>
      <c s="1633"/>
      <c s="1633"/>
      <c s="1633"/>
      <c s="1633"/>
      <c s="1633"/>
      <c s="1633"/>
      <c s="1633"/>
      <c s="1633"/>
      <c s="1633"/>
      <c s="1633"/>
      <c s="1633">
        <v>11</v>
      </c>
    </row>
    <row r="210" spans="1:32" ht="11.55" customHeight="1">
      <c r="A210" s="992"/>
      <c s="1633"/>
      <c r="D210" s="1633"/>
      <c r="K210" s="1633"/>
      <c r="N210" s="1633"/>
      <c s="1633"/>
      <c s="1633"/>
      <c s="1633"/>
      <c r="S210" s="1633"/>
      <c s="1633"/>
      <c s="1633"/>
      <c s="1633"/>
      <c s="1633"/>
      <c s="1633"/>
      <c s="1633"/>
      <c s="1633"/>
      <c s="1633"/>
      <c s="1633"/>
      <c s="1633"/>
      <c s="1633"/>
      <c s="1633"/>
      <c s="1633">
        <v>11</v>
      </c>
    </row>
    <row r="211" spans="1:32" ht="11.55" customHeight="1">
      <c r="A211" s="992"/>
      <c s="1633"/>
      <c r="D211" s="1633"/>
      <c r="K211" s="1633"/>
      <c r="N211" s="1633"/>
      <c s="1633"/>
      <c s="1633"/>
      <c s="1633"/>
      <c r="S211" s="1633"/>
      <c s="1633"/>
      <c s="1633"/>
      <c s="1633"/>
      <c s="1633"/>
      <c s="1633"/>
      <c s="1633"/>
      <c s="1633"/>
      <c s="1633"/>
      <c s="1633"/>
      <c s="1633"/>
      <c s="1633"/>
      <c s="1633"/>
      <c s="1633">
        <v>11</v>
      </c>
    </row>
    <row r="212" spans="1:32" ht="11.55" customHeight="1">
      <c r="A212" s="992"/>
      <c s="1633"/>
      <c r="D212" s="1633"/>
      <c r="K212" s="1633"/>
      <c r="N212" s="1633"/>
      <c s="1633"/>
      <c s="1633"/>
      <c s="1633"/>
      <c r="S212" s="1633"/>
      <c s="1633"/>
      <c s="1633"/>
      <c s="1633"/>
      <c s="1633"/>
      <c s="1633"/>
      <c s="1633"/>
      <c s="1633"/>
      <c s="1633"/>
      <c s="1633"/>
      <c s="1633"/>
      <c s="1633"/>
      <c s="1633"/>
      <c s="1633">
        <v>11</v>
      </c>
    </row>
    <row r="213" spans="1:32" ht="11.55" customHeight="1">
      <c r="A213" s="992"/>
      <c s="1633"/>
      <c r="D213" s="1633"/>
      <c r="K213" s="1633"/>
      <c r="N213" s="1633"/>
      <c s="1633"/>
      <c s="1633"/>
      <c s="1633"/>
      <c r="S213" s="1633"/>
      <c s="1633"/>
      <c s="1633"/>
      <c s="1633"/>
      <c s="1633"/>
      <c s="1633"/>
      <c s="1633"/>
      <c s="1633"/>
      <c s="1633"/>
      <c s="1633"/>
      <c s="1633"/>
      <c s="1633"/>
      <c s="1633"/>
      <c s="1633">
        <v>11</v>
      </c>
    </row>
    <row r="214" spans="1:32" ht="11.55" customHeight="1">
      <c r="A214" s="992"/>
      <c s="1633"/>
      <c r="D214" s="1633"/>
      <c r="K214" s="1633"/>
      <c r="N214" s="1633"/>
      <c s="1633"/>
      <c s="1633"/>
      <c s="1633"/>
      <c r="S214" s="1633"/>
      <c s="1633"/>
      <c s="1633"/>
      <c s="1633"/>
      <c s="1633"/>
      <c s="1633"/>
      <c s="1633"/>
      <c s="1633"/>
      <c s="1633"/>
      <c s="1633"/>
      <c s="1633"/>
      <c s="1633"/>
      <c s="1633"/>
      <c s="1633">
        <v>11</v>
      </c>
    </row>
    <row r="215" spans="1:32" ht="11.55" customHeight="1">
      <c r="A215" s="992"/>
      <c s="1633"/>
      <c r="D215" s="1633"/>
      <c r="K215" s="1633"/>
      <c r="N215" s="1633"/>
      <c s="1633"/>
      <c s="1633"/>
      <c s="1633"/>
      <c r="S215" s="1633"/>
      <c s="1633"/>
      <c s="1633"/>
      <c s="1633"/>
      <c s="1633"/>
      <c s="1633"/>
      <c s="1633"/>
      <c s="1633"/>
      <c s="1633"/>
      <c s="1633"/>
      <c s="1633"/>
      <c s="1633"/>
      <c s="1633"/>
      <c s="1633">
        <v>11</v>
      </c>
    </row>
    <row r="216" spans="1:32" ht="11.55" customHeight="1">
      <c r="A216" s="992"/>
      <c s="1633"/>
      <c r="D216" s="1633"/>
      <c r="K216" s="1633"/>
      <c r="N216" s="1633"/>
      <c s="1633"/>
      <c s="1633"/>
      <c s="1633"/>
      <c r="S216" s="1633"/>
      <c s="1633"/>
      <c s="1633"/>
      <c s="1633"/>
      <c s="1633"/>
      <c s="1633"/>
      <c s="1633"/>
      <c s="1633"/>
      <c s="1633"/>
      <c s="1633"/>
      <c s="1633"/>
      <c s="1633"/>
      <c s="1633"/>
      <c s="1633">
        <v>11</v>
      </c>
    </row>
    <row r="217" spans="1:32" ht="11.25" customHeight="1" hidden="1">
      <c r="A217" s="989" t="s">
        <v>81</v>
      </c>
      <c s="1162">
        <v>0</v>
      </c>
      <c s="1638">
        <v>0</v>
      </c>
      <c s="1637">
        <v>3</v>
      </c>
      <c s="1633">
        <v>7</v>
      </c>
      <c s="1633">
        <v>56</v>
      </c>
      <c s="1633">
        <v>10</v>
      </c>
      <c s="1633">
        <v>0</v>
      </c>
      <c s="1633">
        <v>40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CCA44CC-D24A-EB32-C417-0.ADEC4611}" mc:Ignorable="x14ac xr xr2 xr3">
  <sheetPr>
    <tabColor theme="9" tint="-0.249980002641678"/>
  </sheetPr>
  <dimension ref="A1:AF210"/>
  <sheetViews>
    <sheetView showGridLines="0" zoomScale="90" zoomScaleNormal="90" workbookViewId="0" topLeftCell="A1">
      <selection pane="topLeft" activeCell="A1" sqref="A1"/>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4" style="1637" customWidth="1"/>
    <col min="7" max="7" width="10" style="1637" customWidth="1"/>
    <col min="8" max="8" width="40.7142857142857" style="1637" hidden="1" customWidth="1"/>
    <col min="9" max="9" width="40" style="1637" customWidth="1"/>
    <col min="10" max="10" width="102" style="1637" customWidth="1"/>
    <col min="11" max="11" width="9" style="1368" customWidth="1"/>
    <col min="12" max="12" width="5" style="1644" customWidth="1"/>
    <col min="13" max="13" width="3" style="1644" customWidth="1"/>
    <col min="14" max="17" width="3" style="1368" customWidth="1"/>
    <col min="18" max="18" width="10" style="1644" customWidth="1"/>
    <col min="19" max="19" width="34" style="1368" customWidth="1"/>
    <col min="20" max="20" width="9" style="1368" customWidth="1"/>
    <col min="21" max="21" width="8" style="738" customWidth="1"/>
    <col min="22" max="26" width="8" style="1368" customWidth="1"/>
    <col min="27" max="31" width="8" style="1634" customWidth="1"/>
    <col min="32" max="32" width="9.14285714285714" style="1637" hidden="1"/>
  </cols>
  <sheetData>
    <row r="1" spans="1:32" s="1368" customFormat="1" ht="22.5" customHeight="1" hidden="1">
      <c r="A1" s="989"/>
      <c r="C1" s="1638"/>
      <c s="539"/>
      <c r="H1" s="1162">
        <v>4</v>
      </c>
      <c s="1162">
        <v>4</v>
      </c>
      <c r="L1" s="1638"/>
      <c s="1638"/>
      <c r="R1" s="1638"/>
      <c r="AF1" s="1162" t="s">
        <v>14</v>
      </c>
    </row>
    <row r="2" spans="1:32" s="1368" customFormat="1" ht="22.5" customHeight="1" hidden="1">
      <c r="A2" s="989"/>
      <c r="C2" s="1638"/>
      <c s="540"/>
      <c s="1660"/>
      <c s="542"/>
      <c s="1659" t="s">
        <v>552</v>
      </c>
      <c s="543"/>
      <c s="543"/>
      <c s="544" t="s">
        <v>555</v>
      </c>
      <c s="545"/>
      <c s="1638"/>
      <c s="1638"/>
      <c r="R2" s="1638"/>
      <c r="U2" s="546"/>
      <c r="AA2" s="1634"/>
      <c s="1634"/>
      <c s="1634"/>
      <c s="1634"/>
      <c s="1634"/>
      <c s="1162">
        <v>0</v>
      </c>
    </row>
    <row r="3" spans="32:32" ht="11.25" customHeight="1" hidden="1">
      <c r="AF3" s="1633">
        <v>0</v>
      </c>
    </row>
    <row r="4" spans="1:32" s="1634" customFormat="1" ht="11.25" customHeight="1" hidden="1">
      <c r="A4" s="989"/>
      <c s="1162"/>
      <c s="1638"/>
      <c s="364"/>
      <c r="J4" s="1634">
        <v>4</v>
      </c>
      <c s="1162"/>
      <c s="1638"/>
      <c s="1638"/>
      <c s="1162"/>
      <c s="1162"/>
      <c s="1162"/>
      <c s="1162"/>
      <c s="1638"/>
      <c s="1162"/>
      <c s="1162"/>
      <c s="546"/>
      <c s="1162"/>
      <c s="1162"/>
      <c s="1162"/>
      <c s="1162"/>
      <c s="1162"/>
      <c r="AF4" s="1634">
        <v>0</v>
      </c>
    </row>
    <row r="5" spans="32:32" ht="11.55" customHeight="1">
      <c r="AF5" s="1633">
        <v>11</v>
      </c>
    </row>
    <row r="6" spans="5:32" ht="33.75" customHeight="1">
      <c r="E6" s="2250" t="s">
        <v>775</v>
      </c>
      <c s="2250"/>
      <c s="2250"/>
      <c s="2250"/>
      <c s="2250"/>
      <c s="558"/>
      <c r="AF6" s="1633">
        <v>32</v>
      </c>
    </row>
    <row r="7" spans="5:32" ht="25.2" customHeight="1">
      <c r="E7" s="2251" t="str">
        <f>IF(org=0,"Не определено",org)</f>
        <v>ГУП КК "Кубаньводкомплекс"</v>
      </c>
      <c s="2251"/>
      <c s="2251"/>
      <c s="2251"/>
      <c s="2251"/>
      <c r="AF7" s="1633">
        <v>24</v>
      </c>
    </row>
    <row r="8" spans="5:32" ht="11.55" customHeight="1">
      <c r="E8" s="1137"/>
      <c s="1137"/>
      <c s="1137"/>
      <c s="1137"/>
      <c s="1137"/>
      <c r="AF8" s="1633">
        <v>11</v>
      </c>
    </row>
    <row r="9" spans="1:32" s="1644" customFormat="1" ht="1.05" customHeight="1">
      <c r="A9" s="1169"/>
      <c r="D9" s="1644"/>
      <c r="H9" s="891"/>
      <c s="891" t="s">
        <v>118</v>
      </c>
      <c r="AF9" s="1638">
        <v>1</v>
      </c>
    </row>
    <row r="10" spans="5:32" ht="11.55" customHeight="1">
      <c r="E10" s="713"/>
      <c s="2369" t="s">
        <v>105</v>
      </c>
      <c s="2370"/>
      <c s="1661" t="str">
        <f>IF(H9="","",INDEX(DIFFERENTIATION_UNMERGE_VD,MATCH(H9,DIFFERENTIATION_ID_DIFF,0)))</f>
        <v/>
      </c>
      <c s="1661"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s="2129"/>
      <c r="AF10" s="1633">
        <v>11</v>
      </c>
    </row>
    <row r="11" spans="5:32" ht="11.55" customHeight="1">
      <c r="E11" s="713"/>
      <c s="2369" t="s">
        <v>564</v>
      </c>
      <c s="2370"/>
      <c s="1661" t="str">
        <f>IF(H9="","",INDEX(DIFFERENTIATION_UNMERGE_AREA,MATCH(H9,DIFFERENTIATION_ID_DIFF,0)))</f>
        <v/>
      </c>
      <c s="1661" t="str">
        <f>IF(I9="","",INDEX(DIFFERENTIATION_UNMERGE_AREA,MATCH(I9,DIFFERENTIATION_ID_DIFF,0)))</f>
        <v>Территория 1</v>
      </c>
      <c s="2129"/>
      <c r="AF11" s="1633">
        <v>11</v>
      </c>
    </row>
    <row r="12" spans="5:32" ht="11.25" customHeight="1" hidden="1">
      <c r="E12" s="1664"/>
      <c s="2392" t="s">
        <v>565</v>
      </c>
      <c s="2393"/>
      <c s="1665" t="str">
        <f>IF(H9="","",INDEX(DIFFERENTIATION_UNMERGE_SYSTEM,MATCH(H9,DIFFERENTIATION_ID_DIFF,0)))</f>
        <v/>
      </c>
      <c s="1665" t="str">
        <f>IF(I9="","",INDEX(DIFFERENTIATION_UNMERGE_SYSTEM,MATCH(I9,DIFFERENTIATION_ID_DIFF,0)))</f>
        <v>Ейский групповой водопровод (разводящие сети водоотведения)</v>
      </c>
      <c s="2129"/>
      <c r="AF12" s="1633">
        <v>0</v>
      </c>
    </row>
    <row r="13" spans="5:32" ht="11.55" customHeight="1">
      <c r="E13" s="2371" t="s">
        <v>300</v>
      </c>
      <c s="2372"/>
      <c s="2372"/>
      <c s="1658"/>
      <c s="1658"/>
      <c s="2129"/>
      <c r="AF13" s="1633">
        <v>11</v>
      </c>
    </row>
    <row r="14" spans="5:32" ht="24" customHeight="1">
      <c r="E14" s="1659" t="s">
        <v>87</v>
      </c>
      <c s="1662" t="s">
        <v>302</v>
      </c>
      <c s="1662" t="s">
        <v>566</v>
      </c>
      <c s="1662" t="s">
        <v>303</v>
      </c>
      <c s="1662" t="s">
        <v>303</v>
      </c>
      <c s="2129"/>
      <c r="AF14" s="1633">
        <v>23</v>
      </c>
    </row>
    <row r="15" spans="4:32" ht="19.95" customHeight="1">
      <c r="D15" s="1640"/>
      <c s="1632" t="s">
        <v>109</v>
      </c>
      <c s="709" t="s">
        <v>776</v>
      </c>
      <c s="1659" t="s">
        <v>552</v>
      </c>
      <c s="559"/>
      <c s="559"/>
      <c s="291" t="s">
        <v>777</v>
      </c>
      <c s="545" t="s">
        <v>630</v>
      </c>
      <c r="AF15" s="1633">
        <v>19</v>
      </c>
    </row>
    <row r="16" spans="4:32" ht="24" customHeight="1">
      <c r="D16" s="1640"/>
      <c s="1632" t="s">
        <v>110</v>
      </c>
      <c s="1667" t="s">
        <v>778</v>
      </c>
      <c s="1659" t="s">
        <v>552</v>
      </c>
      <c s="560">
        <f>SUM(H17,H20:H27)</f>
        <v>0</v>
      </c>
      <c s="560">
        <f>SUM(I17,I20:I27)</f>
        <v>0</v>
      </c>
      <c s="291" t="s">
        <v>779</v>
      </c>
      <c s="545" t="s">
        <v>630</v>
      </c>
      <c r="AF16" s="1633">
        <v>23</v>
      </c>
    </row>
    <row r="17" spans="4:32" ht="35.7" customHeight="1">
      <c r="D17" s="1640"/>
      <c s="1666" t="s">
        <v>709</v>
      </c>
      <c s="1669" t="s">
        <v>780</v>
      </c>
      <c s="1656" t="s">
        <v>552</v>
      </c>
      <c s="559"/>
      <c s="559"/>
      <c s="291" t="s">
        <v>781</v>
      </c>
      <c s="545"/>
      <c r="AF17" s="1633">
        <v>34</v>
      </c>
    </row>
    <row r="18" spans="4:32" ht="19.95" customHeight="1">
      <c r="D18" s="1640"/>
      <c s="1666" t="s">
        <v>712</v>
      </c>
      <c s="1670" t="s">
        <v>782</v>
      </c>
      <c s="1656" t="s">
        <v>552</v>
      </c>
      <c s="559"/>
      <c s="559"/>
      <c s="291"/>
      <c s="545"/>
      <c r="AF18" s="1633">
        <v>19</v>
      </c>
    </row>
    <row r="19" spans="4:32" ht="24" customHeight="1">
      <c r="D19" s="1640"/>
      <c s="1666" t="s">
        <v>715</v>
      </c>
      <c s="1670" t="s">
        <v>783</v>
      </c>
      <c s="1656" t="s">
        <v>552</v>
      </c>
      <c s="559"/>
      <c s="559"/>
      <c s="291"/>
      <c s="545"/>
      <c r="AF19" s="1633">
        <v>23</v>
      </c>
    </row>
    <row r="20" spans="4:32" ht="35.7" customHeight="1">
      <c r="D20" s="1640"/>
      <c s="1666" t="s">
        <v>307</v>
      </c>
      <c s="1669" t="s">
        <v>784</v>
      </c>
      <c s="1656" t="s">
        <v>552</v>
      </c>
      <c s="559"/>
      <c s="559"/>
      <c s="291"/>
      <c s="545"/>
      <c r="AF20" s="1633">
        <v>34</v>
      </c>
    </row>
    <row r="21" spans="4:32" ht="48.3" customHeight="1">
      <c r="D21" s="1640"/>
      <c s="1666" t="s">
        <v>310</v>
      </c>
      <c s="1669" t="s">
        <v>785</v>
      </c>
      <c s="1656" t="s">
        <v>552</v>
      </c>
      <c s="559"/>
      <c s="559"/>
      <c s="291"/>
      <c s="545"/>
      <c r="AF21" s="1633">
        <v>46</v>
      </c>
    </row>
    <row r="22" spans="4:32" ht="60" customHeight="1">
      <c r="D22" s="1640"/>
      <c s="1666" t="s">
        <v>729</v>
      </c>
      <c s="1669" t="s">
        <v>786</v>
      </c>
      <c s="1656" t="s">
        <v>552</v>
      </c>
      <c s="559"/>
      <c s="559"/>
      <c s="291"/>
      <c s="545"/>
      <c r="AF22" s="1633">
        <v>57</v>
      </c>
    </row>
    <row r="23" spans="4:32" ht="35.7" customHeight="1">
      <c r="D23" s="1640"/>
      <c s="1666" t="s">
        <v>736</v>
      </c>
      <c s="1669" t="s">
        <v>787</v>
      </c>
      <c s="1656" t="s">
        <v>552</v>
      </c>
      <c s="559"/>
      <c s="559"/>
      <c s="291"/>
      <c s="545"/>
      <c r="AF23" s="1633">
        <v>34</v>
      </c>
    </row>
    <row r="24" spans="4:32" ht="35.7" customHeight="1">
      <c r="D24" s="1640"/>
      <c s="1666" t="s">
        <v>738</v>
      </c>
      <c s="1669" t="s">
        <v>788</v>
      </c>
      <c s="1656" t="s">
        <v>552</v>
      </c>
      <c s="559"/>
      <c s="559"/>
      <c s="291"/>
      <c s="545"/>
      <c r="AF24" s="1633">
        <v>34</v>
      </c>
    </row>
    <row r="25" spans="4:32" ht="24" customHeight="1">
      <c r="D25" s="1640"/>
      <c s="1666" t="s">
        <v>740</v>
      </c>
      <c s="1669" t="s">
        <v>789</v>
      </c>
      <c s="1656" t="s">
        <v>552</v>
      </c>
      <c s="559"/>
      <c s="559"/>
      <c s="291"/>
      <c s="545"/>
      <c r="AF25" s="1633">
        <v>23</v>
      </c>
    </row>
    <row r="26" spans="4:32" ht="76.5" customHeight="1">
      <c r="D26" s="1640"/>
      <c s="1666" t="s">
        <v>742</v>
      </c>
      <c s="1669" t="s">
        <v>790</v>
      </c>
      <c s="1656" t="s">
        <v>552</v>
      </c>
      <c s="559"/>
      <c s="559"/>
      <c s="291"/>
      <c s="545"/>
      <c r="AF26" s="1633">
        <v>73</v>
      </c>
    </row>
    <row r="27" spans="1:32" s="1368" customFormat="1" ht="35.7" customHeight="1">
      <c r="A27" s="989"/>
      <c r="C27" s="1638"/>
      <c s="1640"/>
      <c s="1631" t="s">
        <v>746</v>
      </c>
      <c s="1630" t="s">
        <v>791</v>
      </c>
      <c s="1657" t="s">
        <v>552</v>
      </c>
      <c s="581">
        <f>SUM(H28:H29)</f>
        <v>0</v>
      </c>
      <c s="581">
        <f>SUM(I28:I29)</f>
        <v>0</v>
      </c>
      <c s="291" t="s">
        <v>744</v>
      </c>
      <c s="545"/>
      <c s="1638"/>
      <c s="1638"/>
      <c r="R27" s="1638"/>
      <c r="U27" s="546"/>
      <c r="AA27" s="1634"/>
      <c s="1634"/>
      <c s="1634"/>
      <c s="1634"/>
      <c s="1634"/>
      <c s="1162">
        <v>34</v>
      </c>
    </row>
    <row r="28" spans="1:32" s="1644" customFormat="1" ht="1.05" customHeight="1">
      <c r="A28" s="1169"/>
      <c r="D28" s="550"/>
      <c s="804" t="str">
        <f>E27&amp;".0"</f>
        <v>2.9.0</v>
      </c>
      <c s="993"/>
      <c s="553"/>
      <c s="994"/>
      <c s="994"/>
      <c s="995"/>
      <c r="AF28" s="1638">
        <v>1</v>
      </c>
    </row>
    <row r="29" spans="1:32" s="1368" customFormat="1" ht="19.95" customHeight="1">
      <c r="A29" s="989"/>
      <c r="C29" s="1638"/>
      <c s="1635"/>
      <c s="572"/>
      <c s="1668" t="s">
        <v>577</v>
      </c>
      <c s="574"/>
      <c s="575"/>
      <c s="575"/>
      <c s="303" t="s">
        <v>745</v>
      </c>
      <c s="545"/>
      <c s="1638"/>
      <c s="1638"/>
      <c r="R29" s="1638"/>
      <c r="U29" s="546"/>
      <c r="AA29" s="1634"/>
      <c s="1634"/>
      <c s="1634"/>
      <c s="1634"/>
      <c s="1634"/>
      <c s="1162">
        <v>19</v>
      </c>
    </row>
    <row r="30" spans="1:32" s="1368" customFormat="1" ht="24" customHeight="1">
      <c r="A30" s="989"/>
      <c r="C30" s="1638"/>
      <c s="1640"/>
      <c s="1666" t="s">
        <v>89</v>
      </c>
      <c s="1663" t="s">
        <v>792</v>
      </c>
      <c s="1656" t="s">
        <v>552</v>
      </c>
      <c s="559"/>
      <c s="559"/>
      <c s="291"/>
      <c s="545"/>
      <c s="1638"/>
      <c s="1638"/>
      <c r="R30" s="1638"/>
      <c r="U30" s="546"/>
      <c r="AA30" s="1634"/>
      <c s="1634"/>
      <c s="1634"/>
      <c s="1634"/>
      <c s="1634"/>
      <c s="1162">
        <v>23</v>
      </c>
    </row>
    <row r="31" spans="1:32" s="1368" customFormat="1" ht="35.7" customHeight="1">
      <c r="A31" s="989"/>
      <c r="C31" s="1638"/>
      <c s="577"/>
      <c s="1666" t="s">
        <v>90</v>
      </c>
      <c s="1663" t="s">
        <v>793</v>
      </c>
      <c s="1656" t="s">
        <v>552</v>
      </c>
      <c s="559"/>
      <c s="559"/>
      <c s="291" t="s">
        <v>794</v>
      </c>
      <c s="545"/>
      <c s="1638"/>
      <c s="1638"/>
      <c r="R31" s="1638"/>
      <c r="U31" s="546"/>
      <c r="AA31" s="1634"/>
      <c s="1634"/>
      <c s="1634"/>
      <c s="1634"/>
      <c s="1634"/>
      <c s="1162">
        <v>34</v>
      </c>
    </row>
    <row r="32" spans="1:32" s="1368" customFormat="1" ht="24" customHeight="1">
      <c r="A32" s="989"/>
      <c r="C32" s="1638"/>
      <c s="1640"/>
      <c s="1666" t="s">
        <v>754</v>
      </c>
      <c s="692" t="s">
        <v>758</v>
      </c>
      <c s="1656" t="s">
        <v>552</v>
      </c>
      <c s="559"/>
      <c s="559"/>
      <c s="291" t="s">
        <v>795</v>
      </c>
      <c s="545"/>
      <c s="1638"/>
      <c s="1638"/>
      <c r="R32" s="1638"/>
      <c r="U32" s="546"/>
      <c r="AA32" s="1634"/>
      <c s="1634"/>
      <c s="1634"/>
      <c s="1634"/>
      <c s="1634"/>
      <c s="1162">
        <v>23</v>
      </c>
    </row>
    <row r="33" spans="1:32" s="1368" customFormat="1" ht="24" customHeight="1">
      <c r="A33" s="989"/>
      <c r="C33" s="1638"/>
      <c s="1640"/>
      <c s="1666" t="s">
        <v>796</v>
      </c>
      <c s="692" t="s">
        <v>797</v>
      </c>
      <c s="1656" t="s">
        <v>552</v>
      </c>
      <c s="559"/>
      <c s="559"/>
      <c s="291" t="s">
        <v>798</v>
      </c>
      <c s="545"/>
      <c s="1638"/>
      <c s="1638"/>
      <c r="R33" s="1638"/>
      <c r="U33" s="546"/>
      <c r="AA33" s="1634"/>
      <c s="1634"/>
      <c s="1634"/>
      <c s="1634"/>
      <c s="1634"/>
      <c s="1162">
        <v>23</v>
      </c>
    </row>
    <row r="34" spans="1:32" s="1368" customFormat="1" ht="24" customHeight="1">
      <c r="A34" s="989"/>
      <c r="C34" s="1638"/>
      <c s="1640"/>
      <c s="1666" t="s">
        <v>799</v>
      </c>
      <c s="692" t="s">
        <v>764</v>
      </c>
      <c s="1656" t="s">
        <v>552</v>
      </c>
      <c s="559"/>
      <c s="559"/>
      <c s="291" t="s">
        <v>800</v>
      </c>
      <c s="545"/>
      <c s="1638"/>
      <c s="1638"/>
      <c r="R34" s="1638"/>
      <c r="U34" s="546"/>
      <c r="AA34" s="1634"/>
      <c s="1634"/>
      <c s="1634"/>
      <c s="1634"/>
      <c s="1634"/>
      <c s="1162">
        <v>23</v>
      </c>
    </row>
    <row r="35" spans="1:32" s="1368" customFormat="1" ht="35.7" customHeight="1">
      <c r="A35" s="989"/>
      <c r="C35" s="1638" t="s">
        <v>588</v>
      </c>
      <c s="1640"/>
      <c s="1666" t="s">
        <v>111</v>
      </c>
      <c s="1663" t="s">
        <v>629</v>
      </c>
      <c s="1659" t="s">
        <v>306</v>
      </c>
      <c s="403"/>
      <c s="403"/>
      <c s="291" t="s">
        <v>801</v>
      </c>
      <c s="545"/>
      <c s="1638"/>
      <c s="1638"/>
      <c r="R35" s="1638"/>
      <c r="U35" s="546"/>
      <c r="AA35" s="1634"/>
      <c s="1634"/>
      <c s="1634"/>
      <c s="1634"/>
      <c s="1634"/>
      <c s="1162">
        <v>34</v>
      </c>
    </row>
    <row r="36" spans="1:32" s="1368" customFormat="1" ht="35.7" customHeight="1">
      <c r="A36" s="989"/>
      <c r="C36" s="1638"/>
      <c s="1640"/>
      <c s="1666" t="s">
        <v>91</v>
      </c>
      <c s="1663" t="s">
        <v>802</v>
      </c>
      <c s="1656" t="s">
        <v>769</v>
      </c>
      <c s="547"/>
      <c s="547"/>
      <c s="291" t="s">
        <v>770</v>
      </c>
      <c s="545"/>
      <c s="1638"/>
      <c s="1638"/>
      <c r="R36" s="1638"/>
      <c r="U36" s="546"/>
      <c r="AA36" s="1634"/>
      <c s="1634"/>
      <c s="1634"/>
      <c s="1634"/>
      <c s="1634"/>
      <c s="1162">
        <v>34</v>
      </c>
    </row>
    <row r="37" spans="1:32" s="1368" customFormat="1" ht="24" customHeight="1">
      <c r="A37" s="989"/>
      <c r="C37" s="1638"/>
      <c s="1640"/>
      <c s="1666" t="s">
        <v>92</v>
      </c>
      <c s="1663" t="s">
        <v>803</v>
      </c>
      <c s="1656" t="s">
        <v>772</v>
      </c>
      <c s="547"/>
      <c s="547"/>
      <c s="291" t="s">
        <v>773</v>
      </c>
      <c s="545"/>
      <c s="1638"/>
      <c s="1638"/>
      <c r="R37" s="1638"/>
      <c r="U37" s="546"/>
      <c r="AA37" s="1634"/>
      <c s="1634"/>
      <c s="1634"/>
      <c s="1634"/>
      <c s="1634"/>
      <c s="1162">
        <v>23</v>
      </c>
    </row>
    <row r="38" spans="4:32" ht="11.55" customHeight="1">
      <c r="D38" s="1640"/>
      <c r="AF38" s="1633">
        <v>11</v>
      </c>
    </row>
    <row r="39" spans="4:32" ht="27.3" customHeight="1">
      <c r="D39" s="1640"/>
      <c s="1255" t="s">
        <v>804</v>
      </c>
      <c s="2287" t="s">
        <v>805</v>
      </c>
      <c s="2287"/>
      <c s="371"/>
      <c s="371"/>
      <c s="371"/>
      <c r="AF39" s="1633">
        <v>26</v>
      </c>
    </row>
    <row r="40" spans="1:32" s="1643" customFormat="1" ht="39.75" customHeight="1">
      <c r="A40" s="989"/>
      <c s="1638"/>
      <c s="1638"/>
      <c s="353"/>
      <c r="F40" s="2287" t="s">
        <v>806</v>
      </c>
      <c s="2287"/>
      <c s="371"/>
      <c s="371"/>
      <c s="371"/>
      <c s="1162"/>
      <c s="1638"/>
      <c s="1638"/>
      <c s="1162"/>
      <c s="1162"/>
      <c s="1162"/>
      <c s="1162"/>
      <c s="1638"/>
      <c s="1162"/>
      <c s="1162"/>
      <c s="546"/>
      <c s="1162"/>
      <c s="1162"/>
      <c s="1162"/>
      <c s="1162"/>
      <c s="1162"/>
      <c s="1634"/>
      <c s="568"/>
      <c s="568"/>
      <c s="568"/>
      <c s="568"/>
      <c s="1643">
        <v>38</v>
      </c>
    </row>
    <row r="41" spans="1:32" s="1643" customFormat="1" ht="11.55" customHeight="1">
      <c r="A41" s="989"/>
      <c s="1638"/>
      <c s="1638"/>
      <c s="353"/>
      <c r="K41" s="1162"/>
      <c s="1638"/>
      <c s="1638"/>
      <c s="1162"/>
      <c s="1162"/>
      <c s="1162"/>
      <c s="1162"/>
      <c s="1638"/>
      <c s="1162"/>
      <c s="1162"/>
      <c s="546"/>
      <c s="1162"/>
      <c s="1162"/>
      <c s="1162"/>
      <c s="1162"/>
      <c s="1162"/>
      <c s="1634"/>
      <c s="568"/>
      <c s="568"/>
      <c s="568"/>
      <c s="568"/>
      <c s="1643">
        <v>11</v>
      </c>
    </row>
    <row r="42" spans="1:32" s="1643" customFormat="1" ht="11.55" customHeight="1">
      <c r="A42" s="989"/>
      <c s="1638"/>
      <c s="1638"/>
      <c s="353"/>
      <c r="K42" s="1162"/>
      <c s="1638"/>
      <c s="1638"/>
      <c s="1162"/>
      <c s="1162"/>
      <c s="1162"/>
      <c s="1162"/>
      <c s="1638"/>
      <c s="1162"/>
      <c s="1162"/>
      <c s="546"/>
      <c s="1162"/>
      <c s="1162"/>
      <c s="1162"/>
      <c s="1162"/>
      <c s="1162"/>
      <c s="1634"/>
      <c s="568"/>
      <c s="568"/>
      <c s="568"/>
      <c s="568"/>
      <c s="1643">
        <v>11</v>
      </c>
    </row>
    <row r="43" spans="1:32" s="1643" customFormat="1" ht="11.55" customHeight="1">
      <c r="A43" s="989"/>
      <c s="1638"/>
      <c s="1638"/>
      <c s="353"/>
      <c r="H43" s="568"/>
      <c s="568"/>
      <c r="K43" s="1162"/>
      <c s="1638"/>
      <c s="1638"/>
      <c s="1162"/>
      <c s="1162"/>
      <c s="1162"/>
      <c s="1162"/>
      <c s="1638"/>
      <c s="1162"/>
      <c s="1162"/>
      <c s="546"/>
      <c s="1162"/>
      <c s="1162"/>
      <c s="1162"/>
      <c s="1162"/>
      <c s="1162"/>
      <c s="1634"/>
      <c s="568"/>
      <c s="568"/>
      <c s="568"/>
      <c s="568"/>
      <c s="1643">
        <v>11</v>
      </c>
    </row>
    <row r="44" spans="1:32" s="1643" customFormat="1" ht="11.55" customHeight="1">
      <c r="A44" s="989"/>
      <c s="1638"/>
      <c s="1638"/>
      <c s="353"/>
      <c r="K44" s="1162"/>
      <c s="1638"/>
      <c s="1638"/>
      <c s="1162"/>
      <c s="1162"/>
      <c s="1162"/>
      <c s="1162"/>
      <c s="1638"/>
      <c s="1162"/>
      <c s="1162"/>
      <c s="546"/>
      <c s="1162"/>
      <c s="1162"/>
      <c s="1162"/>
      <c s="1162"/>
      <c s="1162"/>
      <c s="1634"/>
      <c s="568"/>
      <c s="568"/>
      <c s="568"/>
      <c s="568"/>
      <c s="1643">
        <v>11</v>
      </c>
    </row>
    <row r="45" spans="1:32" s="1643" customFormat="1" ht="11.55" customHeight="1">
      <c r="A45" s="989"/>
      <c s="1638"/>
      <c s="1638"/>
      <c s="353"/>
      <c r="K45" s="1162"/>
      <c s="1638"/>
      <c s="1638"/>
      <c s="1162"/>
      <c s="1162"/>
      <c s="1162"/>
      <c s="1162"/>
      <c s="1638"/>
      <c s="1162"/>
      <c s="1162"/>
      <c s="546"/>
      <c s="1162"/>
      <c s="1162"/>
      <c s="1162"/>
      <c s="1162"/>
      <c s="1162"/>
      <c s="1634"/>
      <c s="568"/>
      <c s="568"/>
      <c s="568"/>
      <c s="568"/>
      <c s="1643">
        <v>11</v>
      </c>
    </row>
    <row r="46" spans="1:32" s="1643" customFormat="1" ht="11.55" customHeight="1">
      <c r="A46" s="989"/>
      <c s="1638"/>
      <c s="1638"/>
      <c s="353"/>
      <c r="K46" s="1162"/>
      <c s="1638"/>
      <c s="1638"/>
      <c s="1162"/>
      <c s="1162"/>
      <c s="1162"/>
      <c s="1162"/>
      <c s="1638"/>
      <c s="1162"/>
      <c s="1162"/>
      <c s="546"/>
      <c s="1162"/>
      <c s="1162"/>
      <c s="1162"/>
      <c s="1162"/>
      <c s="1162"/>
      <c s="1634"/>
      <c s="568"/>
      <c s="568"/>
      <c s="568"/>
      <c s="568"/>
      <c s="1643">
        <v>11</v>
      </c>
    </row>
    <row r="47" spans="1:32" s="1643" customFormat="1" ht="11.55" customHeight="1">
      <c r="A47" s="989"/>
      <c s="1638"/>
      <c s="1638"/>
      <c s="353"/>
      <c r="K47" s="1162"/>
      <c s="1638"/>
      <c s="1638"/>
      <c s="1162"/>
      <c s="1162"/>
      <c s="1162"/>
      <c s="1162"/>
      <c s="1638"/>
      <c s="1162"/>
      <c s="1162"/>
      <c s="546"/>
      <c s="1162"/>
      <c s="1162"/>
      <c s="1162"/>
      <c s="1162"/>
      <c s="1162"/>
      <c s="1634"/>
      <c s="568"/>
      <c s="568"/>
      <c s="568"/>
      <c s="568"/>
      <c s="1643">
        <v>11</v>
      </c>
    </row>
    <row r="48" spans="1:32" s="1643" customFormat="1" ht="11.55" customHeight="1">
      <c r="A48" s="989"/>
      <c s="1638"/>
      <c s="1638"/>
      <c s="353"/>
      <c r="K48" s="1162"/>
      <c s="1638"/>
      <c s="1638"/>
      <c s="1162"/>
      <c s="1162"/>
      <c s="1162"/>
      <c s="1162"/>
      <c s="1638"/>
      <c s="1162"/>
      <c s="1162"/>
      <c s="546"/>
      <c s="1162"/>
      <c s="1162"/>
      <c s="1162"/>
      <c s="1162"/>
      <c s="1162"/>
      <c s="1634"/>
      <c s="568"/>
      <c s="568"/>
      <c s="568"/>
      <c s="568"/>
      <c s="1643">
        <v>11</v>
      </c>
    </row>
    <row r="49" spans="1:32" s="1643" customFormat="1" ht="11.55" customHeight="1">
      <c r="A49" s="989"/>
      <c s="1638"/>
      <c s="1638"/>
      <c s="353"/>
      <c r="K49" s="1162"/>
      <c s="1638"/>
      <c s="1638"/>
      <c s="1162"/>
      <c s="1162"/>
      <c s="1162"/>
      <c s="1162"/>
      <c s="1638"/>
      <c s="1162"/>
      <c s="1162"/>
      <c s="546"/>
      <c s="1162"/>
      <c s="1162"/>
      <c s="1162"/>
      <c s="1162"/>
      <c s="1162"/>
      <c s="1634"/>
      <c s="568"/>
      <c s="568"/>
      <c s="568"/>
      <c s="568"/>
      <c s="1643">
        <v>11</v>
      </c>
    </row>
    <row r="50" spans="1:32" s="1643" customFormat="1" ht="11.55" customHeight="1">
      <c r="A50" s="989"/>
      <c s="1638"/>
      <c s="1638"/>
      <c s="353"/>
      <c r="K50" s="1162"/>
      <c s="1638"/>
      <c s="1638"/>
      <c s="1162"/>
      <c s="1162"/>
      <c s="1162"/>
      <c s="1162"/>
      <c s="1638"/>
      <c s="1162"/>
      <c s="1162"/>
      <c s="546"/>
      <c s="1162"/>
      <c s="1162"/>
      <c s="1162"/>
      <c s="1162"/>
      <c s="1162"/>
      <c s="1634"/>
      <c s="568"/>
      <c s="568"/>
      <c s="568"/>
      <c s="568"/>
      <c s="1643">
        <v>11</v>
      </c>
    </row>
    <row r="51" spans="1:32" s="1643" customFormat="1" ht="11.55" customHeight="1">
      <c r="A51" s="989"/>
      <c s="1638"/>
      <c s="1638"/>
      <c s="353"/>
      <c r="K51" s="1162"/>
      <c s="1638"/>
      <c s="1638"/>
      <c s="1162"/>
      <c s="1162"/>
      <c s="1162"/>
      <c s="1162"/>
      <c s="1638"/>
      <c s="1162"/>
      <c s="1162"/>
      <c s="546"/>
      <c s="1162"/>
      <c s="1162"/>
      <c s="1162"/>
      <c s="1162"/>
      <c s="1162"/>
      <c s="1634"/>
      <c s="568"/>
      <c s="568"/>
      <c s="568"/>
      <c s="568"/>
      <c s="1643">
        <v>11</v>
      </c>
    </row>
    <row r="52" spans="1:32" s="1643" customFormat="1" ht="11.55" customHeight="1">
      <c r="A52" s="989"/>
      <c s="1638"/>
      <c s="1638"/>
      <c s="353"/>
      <c r="K52" s="1162"/>
      <c s="1638"/>
      <c s="1638"/>
      <c s="1162"/>
      <c s="1162"/>
      <c s="1162"/>
      <c s="1162"/>
      <c s="1638"/>
      <c s="1162"/>
      <c s="1162"/>
      <c s="546"/>
      <c s="1162"/>
      <c s="1162"/>
      <c s="1162"/>
      <c s="1162"/>
      <c s="1162"/>
      <c s="1634"/>
      <c s="568"/>
      <c s="568"/>
      <c s="568"/>
      <c s="568"/>
      <c s="1643">
        <v>11</v>
      </c>
    </row>
    <row r="53" spans="1:32" s="1643" customFormat="1" ht="11.55" customHeight="1">
      <c r="A53" s="989"/>
      <c s="1638"/>
      <c s="1638"/>
      <c s="353"/>
      <c r="K53" s="1162"/>
      <c s="1638"/>
      <c s="1638"/>
      <c s="1162"/>
      <c s="1162"/>
      <c s="1162"/>
      <c s="1162"/>
      <c s="1638"/>
      <c s="1162"/>
      <c s="1162"/>
      <c s="546"/>
      <c s="1162"/>
      <c s="1162"/>
      <c s="1162"/>
      <c s="1162"/>
      <c s="1162"/>
      <c s="1634"/>
      <c s="568"/>
      <c s="568"/>
      <c s="568"/>
      <c s="568"/>
      <c s="1643">
        <v>11</v>
      </c>
    </row>
    <row r="54" spans="1:32" s="1643" customFormat="1" ht="11.55" customHeight="1">
      <c r="A54" s="989"/>
      <c s="1638"/>
      <c s="1638"/>
      <c s="353"/>
      <c r="K54" s="1162"/>
      <c s="1638"/>
      <c s="1638"/>
      <c s="1162"/>
      <c s="1162"/>
      <c s="1162"/>
      <c s="1162"/>
      <c s="1638"/>
      <c s="1162"/>
      <c s="1162"/>
      <c s="546"/>
      <c s="1162"/>
      <c s="1162"/>
      <c s="1162"/>
      <c s="1162"/>
      <c s="1162"/>
      <c s="1634"/>
      <c s="568"/>
      <c s="568"/>
      <c s="568"/>
      <c s="568"/>
      <c s="1643">
        <v>11</v>
      </c>
    </row>
    <row r="55" spans="1:32" s="1643" customFormat="1" ht="11.55" customHeight="1">
      <c r="A55" s="989"/>
      <c s="1638"/>
      <c s="1638"/>
      <c s="353"/>
      <c r="K55" s="1162"/>
      <c s="1638"/>
      <c s="1638"/>
      <c s="1162"/>
      <c s="1162"/>
      <c s="1162"/>
      <c s="1162"/>
      <c s="1638"/>
      <c s="1162"/>
      <c s="1162"/>
      <c s="546"/>
      <c s="1162"/>
      <c s="1162"/>
      <c s="1162"/>
      <c s="1162"/>
      <c s="1162"/>
      <c s="1634"/>
      <c s="568"/>
      <c s="568"/>
      <c s="568"/>
      <c s="568"/>
      <c s="1643">
        <v>11</v>
      </c>
    </row>
    <row r="56" spans="1:32" s="1643" customFormat="1" ht="11.55" customHeight="1">
      <c r="A56" s="989"/>
      <c s="1638"/>
      <c s="1638"/>
      <c s="353"/>
      <c r="K56" s="1162"/>
      <c s="1638"/>
      <c s="1638"/>
      <c s="1162"/>
      <c s="1162"/>
      <c s="1162"/>
      <c s="1162"/>
      <c s="1638"/>
      <c s="1162"/>
      <c s="1162"/>
      <c s="546"/>
      <c s="1162"/>
      <c s="1162"/>
      <c s="1162"/>
      <c s="1162"/>
      <c s="1162"/>
      <c s="1634"/>
      <c s="568"/>
      <c s="568"/>
      <c s="568"/>
      <c s="568"/>
      <c s="1643">
        <v>11</v>
      </c>
    </row>
    <row r="57" spans="1:32" s="1643" customFormat="1" ht="11.55" customHeight="1">
      <c r="A57" s="989"/>
      <c s="1638"/>
      <c s="1638"/>
      <c s="353"/>
      <c r="K57" s="1162"/>
      <c s="1638"/>
      <c s="1638"/>
      <c s="1162"/>
      <c s="1162"/>
      <c s="1162"/>
      <c s="1162"/>
      <c s="1638"/>
      <c s="1162"/>
      <c s="1162"/>
      <c s="546"/>
      <c s="1162"/>
      <c s="1162"/>
      <c s="1162"/>
      <c s="1162"/>
      <c s="1162"/>
      <c s="1634"/>
      <c s="568"/>
      <c s="568"/>
      <c s="568"/>
      <c s="568"/>
      <c s="1643">
        <v>11</v>
      </c>
    </row>
    <row r="58" spans="1:32" s="1643" customFormat="1" ht="11.55" customHeight="1">
      <c r="A58" s="989"/>
      <c s="1638"/>
      <c s="1638"/>
      <c s="353"/>
      <c r="K58" s="1162"/>
      <c s="1638"/>
      <c s="1638"/>
      <c s="1162"/>
      <c s="1162"/>
      <c s="1162"/>
      <c s="1162"/>
      <c s="1638"/>
      <c s="1162"/>
      <c s="1162"/>
      <c s="546"/>
      <c s="1162"/>
      <c s="1162"/>
      <c s="1162"/>
      <c s="1162"/>
      <c s="1162"/>
      <c s="1634"/>
      <c s="568"/>
      <c s="568"/>
      <c s="568"/>
      <c s="568"/>
      <c s="1643">
        <v>11</v>
      </c>
    </row>
    <row r="59" spans="1:32" s="1643" customFormat="1" ht="11.55" customHeight="1">
      <c r="A59" s="989"/>
      <c s="1638"/>
      <c s="1638"/>
      <c s="353"/>
      <c r="K59" s="1162"/>
      <c s="1638"/>
      <c s="1638"/>
      <c s="1162"/>
      <c s="1162"/>
      <c s="1162"/>
      <c s="1162"/>
      <c s="1638"/>
      <c s="1162"/>
      <c s="1162"/>
      <c s="546"/>
      <c s="1162"/>
      <c s="1162"/>
      <c s="1162"/>
      <c s="1162"/>
      <c s="1162"/>
      <c s="1634"/>
      <c s="568"/>
      <c s="568"/>
      <c s="568"/>
      <c s="568"/>
      <c s="1643">
        <v>11</v>
      </c>
    </row>
    <row r="60" spans="1:32" s="1643" customFormat="1" ht="11.55" customHeight="1">
      <c r="A60" s="989"/>
      <c s="1638"/>
      <c s="1638"/>
      <c s="353"/>
      <c r="K60" s="1162"/>
      <c s="1638"/>
      <c s="1638"/>
      <c s="1162"/>
      <c s="1162"/>
      <c s="1162"/>
      <c s="1162"/>
      <c s="1638"/>
      <c s="1162"/>
      <c s="1162"/>
      <c s="546"/>
      <c s="1162"/>
      <c s="1162"/>
      <c s="1162"/>
      <c s="1162"/>
      <c s="1162"/>
      <c s="1634"/>
      <c s="568"/>
      <c s="568"/>
      <c s="568"/>
      <c s="568"/>
      <c s="1643">
        <v>11</v>
      </c>
    </row>
    <row r="61" spans="1:32" s="1643" customFormat="1" ht="11.55" customHeight="1">
      <c r="A61" s="989"/>
      <c s="1638"/>
      <c s="1638"/>
      <c s="353"/>
      <c r="K61" s="1162"/>
      <c s="1638"/>
      <c s="1638"/>
      <c s="1162"/>
      <c s="1162"/>
      <c s="1162"/>
      <c s="1162"/>
      <c s="1638"/>
      <c s="1162"/>
      <c s="1162"/>
      <c s="546"/>
      <c s="1162"/>
      <c s="1162"/>
      <c s="1162"/>
      <c s="1162"/>
      <c s="1162"/>
      <c s="1634"/>
      <c s="568"/>
      <c s="568"/>
      <c s="568"/>
      <c s="568"/>
      <c s="1643">
        <v>11</v>
      </c>
    </row>
    <row r="62" spans="1:32" s="1643" customFormat="1" ht="11.55" customHeight="1">
      <c r="A62" s="989"/>
      <c s="1638"/>
      <c s="1638"/>
      <c s="353"/>
      <c r="K62" s="1162"/>
      <c s="1638"/>
      <c s="1638"/>
      <c s="1162"/>
      <c s="1162"/>
      <c s="1162"/>
      <c s="1162"/>
      <c s="1638"/>
      <c s="1162"/>
      <c s="1162"/>
      <c s="546"/>
      <c s="1162"/>
      <c s="1162"/>
      <c s="1162"/>
      <c s="1162"/>
      <c s="1162"/>
      <c s="1634"/>
      <c s="568"/>
      <c s="568"/>
      <c s="568"/>
      <c s="568"/>
      <c s="1643">
        <v>11</v>
      </c>
    </row>
    <row r="63" spans="1:32" s="1643" customFormat="1" ht="11.55" customHeight="1">
      <c r="A63" s="989"/>
      <c s="1638"/>
      <c s="1638"/>
      <c s="353"/>
      <c r="K63" s="1162"/>
      <c s="1638"/>
      <c s="1638"/>
      <c s="1162"/>
      <c s="1162"/>
      <c s="1162"/>
      <c s="1162"/>
      <c s="1638"/>
      <c s="1162"/>
      <c s="1162"/>
      <c s="546"/>
      <c s="1162"/>
      <c s="1162"/>
      <c s="1162"/>
      <c s="1162"/>
      <c s="1162"/>
      <c s="1634"/>
      <c s="568"/>
      <c s="568"/>
      <c s="568"/>
      <c s="568"/>
      <c s="1643">
        <v>11</v>
      </c>
    </row>
    <row r="64" spans="1:32" s="1643" customFormat="1" ht="11.55" customHeight="1">
      <c r="A64" s="989"/>
      <c s="1638"/>
      <c s="1638"/>
      <c s="353"/>
      <c r="K64" s="1162"/>
      <c s="1638"/>
      <c s="1638"/>
      <c s="1162"/>
      <c s="1162"/>
      <c s="1162"/>
      <c s="1162"/>
      <c s="1638"/>
      <c s="1162"/>
      <c s="1162"/>
      <c s="546"/>
      <c s="1162"/>
      <c s="1162"/>
      <c s="1162"/>
      <c s="1162"/>
      <c s="1162"/>
      <c s="1634"/>
      <c s="568"/>
      <c s="568"/>
      <c s="568"/>
      <c s="568"/>
      <c s="1643">
        <v>11</v>
      </c>
    </row>
    <row r="65" spans="1:32" s="1643" customFormat="1" ht="11.55" customHeight="1">
      <c r="A65" s="989"/>
      <c s="1638"/>
      <c s="1638"/>
      <c s="353"/>
      <c r="K65" s="1162"/>
      <c s="1638"/>
      <c s="1638"/>
      <c s="1162"/>
      <c s="1162"/>
      <c s="1162"/>
      <c s="1162"/>
      <c s="1638"/>
      <c s="1162"/>
      <c s="1162"/>
      <c s="546"/>
      <c s="1162"/>
      <c s="1162"/>
      <c s="1162"/>
      <c s="1162"/>
      <c s="1162"/>
      <c s="1634"/>
      <c s="568"/>
      <c s="568"/>
      <c s="568"/>
      <c s="568"/>
      <c s="1643">
        <v>11</v>
      </c>
    </row>
    <row r="66" spans="1:32" s="1643" customFormat="1" ht="11.55" customHeight="1">
      <c r="A66" s="989"/>
      <c s="1638"/>
      <c s="1638"/>
      <c s="353"/>
      <c r="K66" s="1162"/>
      <c s="1638"/>
      <c s="1638"/>
      <c s="1162"/>
      <c s="1162"/>
      <c s="1162"/>
      <c s="1162"/>
      <c s="1638"/>
      <c s="1162"/>
      <c s="1162"/>
      <c s="546"/>
      <c s="1162"/>
      <c s="1162"/>
      <c s="1162"/>
      <c s="1162"/>
      <c s="1162"/>
      <c s="1634"/>
      <c s="568"/>
      <c s="568"/>
      <c s="568"/>
      <c s="568"/>
      <c s="1643">
        <v>11</v>
      </c>
    </row>
    <row r="67" spans="1:32" s="1643" customFormat="1" ht="11.55" customHeight="1">
      <c r="A67" s="989"/>
      <c s="1638"/>
      <c s="1638"/>
      <c s="353"/>
      <c r="K67" s="1162"/>
      <c s="1638"/>
      <c s="1638"/>
      <c s="1162"/>
      <c s="1162"/>
      <c s="1162"/>
      <c s="1162"/>
      <c s="1638"/>
      <c s="1162"/>
      <c s="1162"/>
      <c s="546"/>
      <c s="1162"/>
      <c s="1162"/>
      <c s="1162"/>
      <c s="1162"/>
      <c s="1162"/>
      <c s="1634"/>
      <c s="568"/>
      <c s="568"/>
      <c s="568"/>
      <c s="568"/>
      <c s="1643">
        <v>11</v>
      </c>
    </row>
    <row r="68" spans="1:32" s="1643" customFormat="1" ht="11.55" customHeight="1">
      <c r="A68" s="989"/>
      <c s="1638"/>
      <c s="1638"/>
      <c s="353"/>
      <c r="K68" s="1162"/>
      <c s="1638"/>
      <c s="1638"/>
      <c s="1162"/>
      <c s="1162"/>
      <c s="1162"/>
      <c s="1162"/>
      <c s="1638"/>
      <c s="1162"/>
      <c s="1162"/>
      <c s="546"/>
      <c s="1162"/>
      <c s="1162"/>
      <c s="1162"/>
      <c s="1162"/>
      <c s="1162"/>
      <c s="1634"/>
      <c s="568"/>
      <c s="568"/>
      <c s="568"/>
      <c s="568"/>
      <c s="1643">
        <v>11</v>
      </c>
    </row>
    <row r="69" spans="1:32" s="1643" customFormat="1" ht="11.55" customHeight="1">
      <c r="A69" s="989"/>
      <c s="1638"/>
      <c s="1638"/>
      <c s="353"/>
      <c r="K69" s="1162"/>
      <c s="1638"/>
      <c s="1638"/>
      <c s="1162"/>
      <c s="1162"/>
      <c s="1162"/>
      <c s="1162"/>
      <c s="1638"/>
      <c s="1162"/>
      <c s="1162"/>
      <c s="546"/>
      <c s="1162"/>
      <c s="1162"/>
      <c s="1162"/>
      <c s="1162"/>
      <c s="1162"/>
      <c s="1634"/>
      <c s="568"/>
      <c s="568"/>
      <c s="568"/>
      <c s="568"/>
      <c s="1643">
        <v>11</v>
      </c>
    </row>
    <row r="70" spans="1:32" s="1643" customFormat="1" ht="11.55" customHeight="1">
      <c r="A70" s="989"/>
      <c s="1638"/>
      <c s="1638"/>
      <c s="353"/>
      <c r="K70" s="1162"/>
      <c s="1638"/>
      <c s="1638"/>
      <c s="1162"/>
      <c s="1162"/>
      <c s="1162"/>
      <c s="1162"/>
      <c s="1638"/>
      <c s="1162"/>
      <c s="1162"/>
      <c s="546"/>
      <c s="1162"/>
      <c s="1162"/>
      <c s="1162"/>
      <c s="1162"/>
      <c s="1162"/>
      <c s="1634"/>
      <c s="568"/>
      <c s="568"/>
      <c s="568"/>
      <c s="568"/>
      <c s="1643">
        <v>11</v>
      </c>
    </row>
    <row r="71" spans="1:32" s="1643" customFormat="1" ht="11.55" customHeight="1">
      <c r="A71" s="989"/>
      <c s="1638"/>
      <c s="1638"/>
      <c s="353"/>
      <c r="K71" s="1162"/>
      <c s="1638"/>
      <c s="1638"/>
      <c s="1162"/>
      <c s="1162"/>
      <c s="1162"/>
      <c s="1162"/>
      <c s="1638"/>
      <c s="1162"/>
      <c s="1162"/>
      <c s="546"/>
      <c s="1162"/>
      <c s="1162"/>
      <c s="1162"/>
      <c s="1162"/>
      <c s="1162"/>
      <c s="1634"/>
      <c s="568"/>
      <c s="568"/>
      <c s="568"/>
      <c s="568"/>
      <c s="1643">
        <v>11</v>
      </c>
    </row>
    <row r="72" spans="1:32" s="1643" customFormat="1" ht="11.55" customHeight="1">
      <c r="A72" s="989"/>
      <c s="1638"/>
      <c s="1638"/>
      <c s="353"/>
      <c r="K72" s="1162"/>
      <c s="1638"/>
      <c s="1638"/>
      <c s="1162"/>
      <c s="1162"/>
      <c s="1162"/>
      <c s="1162"/>
      <c s="1638"/>
      <c s="1162"/>
      <c s="1162"/>
      <c s="546"/>
      <c s="1162"/>
      <c s="1162"/>
      <c s="1162"/>
      <c s="1162"/>
      <c s="1162"/>
      <c s="1634"/>
      <c s="568"/>
      <c s="568"/>
      <c s="568"/>
      <c s="568"/>
      <c s="1643">
        <v>11</v>
      </c>
    </row>
    <row r="73" spans="1:32" s="1643" customFormat="1" ht="11.55" customHeight="1">
      <c r="A73" s="989"/>
      <c s="1638"/>
      <c s="1638"/>
      <c s="353"/>
      <c r="K73" s="1162"/>
      <c s="1638"/>
      <c s="1638"/>
      <c s="1162"/>
      <c s="1162"/>
      <c s="1162"/>
      <c s="1162"/>
      <c s="1638"/>
      <c s="1162"/>
      <c s="1162"/>
      <c s="546"/>
      <c s="1162"/>
      <c s="1162"/>
      <c s="1162"/>
      <c s="1162"/>
      <c s="1162"/>
      <c s="1634"/>
      <c s="568"/>
      <c s="568"/>
      <c s="568"/>
      <c s="568"/>
      <c s="1643">
        <v>11</v>
      </c>
    </row>
    <row r="74" spans="1:32" s="1643" customFormat="1" ht="11.55" customHeight="1">
      <c r="A74" s="989"/>
      <c s="1638"/>
      <c s="1638"/>
      <c s="353"/>
      <c r="K74" s="1162"/>
      <c s="1638"/>
      <c s="1638"/>
      <c s="1162"/>
      <c s="1162"/>
      <c s="1162"/>
      <c s="1162"/>
      <c s="1638"/>
      <c s="1162"/>
      <c s="1162"/>
      <c s="546"/>
      <c s="1162"/>
      <c s="1162"/>
      <c s="1162"/>
      <c s="1162"/>
      <c s="1162"/>
      <c s="1634"/>
      <c s="568"/>
      <c s="568"/>
      <c s="568"/>
      <c s="568"/>
      <c s="1643">
        <v>11</v>
      </c>
    </row>
    <row r="75" spans="1:32" s="1643" customFormat="1" ht="11.55" customHeight="1">
      <c r="A75" s="989"/>
      <c s="1638"/>
      <c s="1638"/>
      <c s="353"/>
      <c r="K75" s="1162"/>
      <c s="1638"/>
      <c s="1638"/>
      <c s="1162"/>
      <c s="1162"/>
      <c s="1162"/>
      <c s="1162"/>
      <c s="1638"/>
      <c s="1162"/>
      <c s="1162"/>
      <c s="546"/>
      <c s="1162"/>
      <c s="1162"/>
      <c s="1162"/>
      <c s="1162"/>
      <c s="1162"/>
      <c s="1634"/>
      <c s="568"/>
      <c s="568"/>
      <c s="568"/>
      <c s="568"/>
      <c s="1643">
        <v>11</v>
      </c>
    </row>
    <row r="76" spans="1:32" s="1643" customFormat="1" ht="11.55" customHeight="1">
      <c r="A76" s="989"/>
      <c s="1638"/>
      <c s="1638"/>
      <c s="353"/>
      <c r="K76" s="1162"/>
      <c s="1638"/>
      <c s="1638"/>
      <c s="1162"/>
      <c s="1162"/>
      <c s="1162"/>
      <c s="1162"/>
      <c s="1638"/>
      <c s="1162"/>
      <c s="1162"/>
      <c s="546"/>
      <c s="1162"/>
      <c s="1162"/>
      <c s="1162"/>
      <c s="1162"/>
      <c s="1162"/>
      <c s="1634"/>
      <c s="568"/>
      <c s="568"/>
      <c s="568"/>
      <c s="568"/>
      <c s="1643">
        <v>11</v>
      </c>
    </row>
    <row r="77" spans="1:32" s="1643" customFormat="1" ht="11.55" customHeight="1">
      <c r="A77" s="989"/>
      <c s="1638"/>
      <c s="1638"/>
      <c s="353"/>
      <c r="K77" s="1162"/>
      <c s="1638"/>
      <c s="1638"/>
      <c s="1162"/>
      <c s="1162"/>
      <c s="1162"/>
      <c s="1162"/>
      <c s="1638"/>
      <c s="1162"/>
      <c s="1162"/>
      <c s="546"/>
      <c s="1162"/>
      <c s="1162"/>
      <c s="1162"/>
      <c s="1162"/>
      <c s="1162"/>
      <c s="1634"/>
      <c s="568"/>
      <c s="568"/>
      <c s="568"/>
      <c s="568"/>
      <c s="1643">
        <v>11</v>
      </c>
    </row>
    <row r="78" spans="1:32" s="1643" customFormat="1" ht="11.55" customHeight="1">
      <c r="A78" s="989"/>
      <c s="1638"/>
      <c s="1638"/>
      <c s="353"/>
      <c r="K78" s="1162"/>
      <c s="1638"/>
      <c s="1638"/>
      <c s="1162"/>
      <c s="1162"/>
      <c s="1162"/>
      <c s="1162"/>
      <c s="1638"/>
      <c s="1162"/>
      <c s="1162"/>
      <c s="546"/>
      <c s="1162"/>
      <c s="1162"/>
      <c s="1162"/>
      <c s="1162"/>
      <c s="1162"/>
      <c s="1634"/>
      <c s="568"/>
      <c s="568"/>
      <c s="568"/>
      <c s="568"/>
      <c s="1643">
        <v>11</v>
      </c>
    </row>
    <row r="79" spans="1:32" s="1643" customFormat="1" ht="11.55" customHeight="1">
      <c r="A79" s="989"/>
      <c s="1638"/>
      <c s="1638"/>
      <c s="353"/>
      <c r="K79" s="1162"/>
      <c s="1638"/>
      <c s="1638"/>
      <c s="1162"/>
      <c s="1162"/>
      <c s="1162"/>
      <c s="1162"/>
      <c s="1638"/>
      <c s="1162"/>
      <c s="1162"/>
      <c s="546"/>
      <c s="1162"/>
      <c s="1162"/>
      <c s="1162"/>
      <c s="1162"/>
      <c s="1162"/>
      <c s="1634"/>
      <c s="568"/>
      <c s="568"/>
      <c s="568"/>
      <c s="568"/>
      <c s="1643">
        <v>11</v>
      </c>
    </row>
    <row r="80" spans="1:32" s="1643" customFormat="1" ht="11.55" customHeight="1">
      <c r="A80" s="989"/>
      <c s="1638"/>
      <c s="1638"/>
      <c s="353"/>
      <c r="K80" s="1162"/>
      <c s="1638"/>
      <c s="1638"/>
      <c s="1162"/>
      <c s="1162"/>
      <c s="1162"/>
      <c s="1162"/>
      <c s="1638"/>
      <c s="1162"/>
      <c s="1162"/>
      <c s="546"/>
      <c s="1162"/>
      <c s="1162"/>
      <c s="1162"/>
      <c s="1162"/>
      <c s="1162"/>
      <c s="1634"/>
      <c s="568"/>
      <c s="568"/>
      <c s="568"/>
      <c s="568"/>
      <c s="1643">
        <v>11</v>
      </c>
    </row>
    <row r="81" spans="1:32" s="1643" customFormat="1" ht="11.55" customHeight="1">
      <c r="A81" s="989"/>
      <c s="1638"/>
      <c s="1638"/>
      <c s="353"/>
      <c r="K81" s="1162"/>
      <c s="1638"/>
      <c s="1638"/>
      <c s="1162"/>
      <c s="1162"/>
      <c s="1162"/>
      <c s="1162"/>
      <c s="1638"/>
      <c s="1162"/>
      <c s="1162"/>
      <c s="546"/>
      <c s="1162"/>
      <c s="1162"/>
      <c s="1162"/>
      <c s="1162"/>
      <c s="1162"/>
      <c s="1634"/>
      <c s="568"/>
      <c s="568"/>
      <c s="568"/>
      <c s="568"/>
      <c s="1643">
        <v>11</v>
      </c>
    </row>
    <row r="82" spans="1:32" s="1643" customFormat="1" ht="11.55" customHeight="1">
      <c r="A82" s="989"/>
      <c s="1638"/>
      <c s="1638"/>
      <c s="353"/>
      <c r="K82" s="1162"/>
      <c s="1638"/>
      <c s="1638"/>
      <c s="1162"/>
      <c s="1162"/>
      <c s="1162"/>
      <c s="1162"/>
      <c s="1638"/>
      <c s="1162"/>
      <c s="1162"/>
      <c s="546"/>
      <c s="1162"/>
      <c s="1162"/>
      <c s="1162"/>
      <c s="1162"/>
      <c s="1162"/>
      <c s="1634"/>
      <c s="568"/>
      <c s="568"/>
      <c s="568"/>
      <c s="568"/>
      <c s="1643">
        <v>11</v>
      </c>
    </row>
    <row r="83" spans="1:32" s="1643" customFormat="1" ht="11.55" customHeight="1">
      <c r="A83" s="989"/>
      <c s="1638"/>
      <c s="1638"/>
      <c s="353"/>
      <c r="K83" s="1162"/>
      <c s="1638"/>
      <c s="1638"/>
      <c s="1162"/>
      <c s="1162"/>
      <c s="1162"/>
      <c s="1162"/>
      <c s="1638"/>
      <c s="1162"/>
      <c s="1162"/>
      <c s="546"/>
      <c s="1162"/>
      <c s="1162"/>
      <c s="1162"/>
      <c s="1162"/>
      <c s="1162"/>
      <c s="1634"/>
      <c s="568"/>
      <c s="568"/>
      <c s="568"/>
      <c s="568"/>
      <c s="1643">
        <v>11</v>
      </c>
    </row>
    <row r="84" spans="1:32" s="1643" customFormat="1" ht="11.55" customHeight="1">
      <c r="A84" s="989"/>
      <c s="1638"/>
      <c s="1638"/>
      <c s="353"/>
      <c r="K84" s="1162"/>
      <c s="1638"/>
      <c s="1638"/>
      <c s="1162"/>
      <c s="1162"/>
      <c s="1162"/>
      <c s="1162"/>
      <c s="1638"/>
      <c s="1162"/>
      <c s="1162"/>
      <c s="546"/>
      <c s="1162"/>
      <c s="1162"/>
      <c s="1162"/>
      <c s="1162"/>
      <c s="1162"/>
      <c s="1634"/>
      <c s="568"/>
      <c s="568"/>
      <c s="568"/>
      <c s="568"/>
      <c s="1643">
        <v>11</v>
      </c>
    </row>
    <row r="85" spans="1:32" s="1643" customFormat="1" ht="11.55" customHeight="1">
      <c r="A85" s="989"/>
      <c s="1638"/>
      <c s="1638"/>
      <c s="353"/>
      <c r="K85" s="1162"/>
      <c s="1638"/>
      <c s="1638"/>
      <c s="1162"/>
      <c s="1162"/>
      <c s="1162"/>
      <c s="1162"/>
      <c s="1638"/>
      <c s="1162"/>
      <c s="1162"/>
      <c s="546"/>
      <c s="1162"/>
      <c s="1162"/>
      <c s="1162"/>
      <c s="1162"/>
      <c s="1162"/>
      <c s="1634"/>
      <c s="568"/>
      <c s="568"/>
      <c s="568"/>
      <c s="568"/>
      <c s="1643">
        <v>11</v>
      </c>
    </row>
    <row r="86" spans="1:32" s="1643" customFormat="1" ht="11.55" customHeight="1">
      <c r="A86" s="989"/>
      <c s="1638"/>
      <c s="1638"/>
      <c s="353"/>
      <c r="K86" s="1162"/>
      <c s="1638"/>
      <c s="1638"/>
      <c s="1162"/>
      <c s="1162"/>
      <c s="1162"/>
      <c s="1162"/>
      <c s="1638"/>
      <c s="1162"/>
      <c s="1162"/>
      <c s="546"/>
      <c s="1162"/>
      <c s="1162"/>
      <c s="1162"/>
      <c s="1162"/>
      <c s="1162"/>
      <c s="1634"/>
      <c s="568"/>
      <c s="568"/>
      <c s="568"/>
      <c s="568"/>
      <c s="1643">
        <v>11</v>
      </c>
    </row>
    <row r="87" spans="1:32" s="1643" customFormat="1" ht="11.55" customHeight="1">
      <c r="A87" s="989"/>
      <c s="1638"/>
      <c s="1638"/>
      <c s="353"/>
      <c r="K87" s="1162"/>
      <c s="1638"/>
      <c s="1638"/>
      <c s="1162"/>
      <c s="1162"/>
      <c s="1162"/>
      <c s="1162"/>
      <c s="1638"/>
      <c s="1162"/>
      <c s="1162"/>
      <c s="546"/>
      <c s="1162"/>
      <c s="1162"/>
      <c s="1162"/>
      <c s="1162"/>
      <c s="1162"/>
      <c s="1634"/>
      <c s="568"/>
      <c s="568"/>
      <c s="568"/>
      <c s="568"/>
      <c s="1643">
        <v>11</v>
      </c>
    </row>
    <row r="88" spans="1:32" s="1643" customFormat="1" ht="11.55" customHeight="1">
      <c r="A88" s="989"/>
      <c s="1638"/>
      <c s="1638"/>
      <c s="353"/>
      <c r="K88" s="1162"/>
      <c s="1638"/>
      <c s="1638"/>
      <c s="1162"/>
      <c s="1162"/>
      <c s="1162"/>
      <c s="1162"/>
      <c s="1638"/>
      <c s="1162"/>
      <c s="1162"/>
      <c s="546"/>
      <c s="1162"/>
      <c s="1162"/>
      <c s="1162"/>
      <c s="1162"/>
      <c s="1162"/>
      <c s="1634"/>
      <c s="568"/>
      <c s="568"/>
      <c s="568"/>
      <c s="568"/>
      <c s="1643">
        <v>11</v>
      </c>
    </row>
    <row r="89" spans="1:32" s="1643" customFormat="1" ht="11.55" customHeight="1">
      <c r="A89" s="989"/>
      <c s="1638"/>
      <c s="1638"/>
      <c s="353"/>
      <c r="K89" s="1162"/>
      <c s="1638"/>
      <c s="1638"/>
      <c s="1162"/>
      <c s="1162"/>
      <c s="1162"/>
      <c s="1162"/>
      <c s="1638"/>
      <c s="1162"/>
      <c s="1162"/>
      <c s="546"/>
      <c s="1162"/>
      <c s="1162"/>
      <c s="1162"/>
      <c s="1162"/>
      <c s="1162"/>
      <c s="1634"/>
      <c s="568"/>
      <c s="568"/>
      <c s="568"/>
      <c s="568"/>
      <c s="1643">
        <v>11</v>
      </c>
    </row>
    <row r="90" spans="1:32" s="1643" customFormat="1" ht="11.55" customHeight="1">
      <c r="A90" s="989"/>
      <c s="1638"/>
      <c s="1638"/>
      <c s="353"/>
      <c r="K90" s="1162"/>
      <c s="1638"/>
      <c s="1638"/>
      <c s="1162"/>
      <c s="1162"/>
      <c s="1162"/>
      <c s="1162"/>
      <c s="1638"/>
      <c s="1162"/>
      <c s="1162"/>
      <c s="546"/>
      <c s="1162"/>
      <c s="1162"/>
      <c s="1162"/>
      <c s="1162"/>
      <c s="1162"/>
      <c s="1634"/>
      <c s="568"/>
      <c s="568"/>
      <c s="568"/>
      <c s="568"/>
      <c s="1643">
        <v>11</v>
      </c>
    </row>
    <row r="91" spans="1:32" s="1643" customFormat="1" ht="11.55" customHeight="1">
      <c r="A91" s="989"/>
      <c s="1638"/>
      <c s="1638"/>
      <c s="353"/>
      <c r="K91" s="1162"/>
      <c s="1638"/>
      <c s="1638"/>
      <c s="1162"/>
      <c s="1162"/>
      <c s="1162"/>
      <c s="1162"/>
      <c s="1638"/>
      <c s="1162"/>
      <c s="1162"/>
      <c s="546"/>
      <c s="1162"/>
      <c s="1162"/>
      <c s="1162"/>
      <c s="1162"/>
      <c s="1162"/>
      <c s="1634"/>
      <c s="568"/>
      <c s="568"/>
      <c s="568"/>
      <c s="568"/>
      <c s="1643">
        <v>11</v>
      </c>
    </row>
    <row r="92" spans="1:32" s="1643" customFormat="1" ht="11.55" customHeight="1">
      <c r="A92" s="989"/>
      <c s="1638"/>
      <c s="1638"/>
      <c s="353"/>
      <c r="K92" s="1162"/>
      <c s="1638"/>
      <c s="1638"/>
      <c s="1162"/>
      <c s="1162"/>
      <c s="1162"/>
      <c s="1162"/>
      <c s="1638"/>
      <c s="1162"/>
      <c s="1162"/>
      <c s="546"/>
      <c s="1162"/>
      <c s="1162"/>
      <c s="1162"/>
      <c s="1162"/>
      <c s="1162"/>
      <c s="1634"/>
      <c s="568"/>
      <c s="568"/>
      <c s="568"/>
      <c s="568"/>
      <c s="1643">
        <v>11</v>
      </c>
    </row>
    <row r="93" spans="1:32" s="1643" customFormat="1" ht="11.55" customHeight="1">
      <c r="A93" s="989"/>
      <c s="1638"/>
      <c s="1638"/>
      <c s="353"/>
      <c r="K93" s="1162"/>
      <c s="1638"/>
      <c s="1638"/>
      <c s="1162"/>
      <c s="1162"/>
      <c s="1162"/>
      <c s="1162"/>
      <c s="1638"/>
      <c s="1162"/>
      <c s="1162"/>
      <c s="546"/>
      <c s="1162"/>
      <c s="1162"/>
      <c s="1162"/>
      <c s="1162"/>
      <c s="1162"/>
      <c s="1634"/>
      <c s="568"/>
      <c s="568"/>
      <c s="568"/>
      <c s="568"/>
      <c s="1643">
        <v>11</v>
      </c>
    </row>
    <row r="94" spans="1:32" s="1643" customFormat="1" ht="11.55" customHeight="1">
      <c r="A94" s="989"/>
      <c s="1638"/>
      <c s="1638"/>
      <c s="353"/>
      <c r="K94" s="1162"/>
      <c s="1638"/>
      <c s="1638"/>
      <c s="1162"/>
      <c s="1162"/>
      <c s="1162"/>
      <c s="1162"/>
      <c s="1638"/>
      <c s="1162"/>
      <c s="1162"/>
      <c s="546"/>
      <c s="1162"/>
      <c s="1162"/>
      <c s="1162"/>
      <c s="1162"/>
      <c s="1162"/>
      <c s="1634"/>
      <c s="568"/>
      <c s="568"/>
      <c s="568"/>
      <c s="568"/>
      <c s="1643">
        <v>11</v>
      </c>
    </row>
    <row r="95" spans="1:32" s="1643" customFormat="1" ht="11.55" customHeight="1">
      <c r="A95" s="989"/>
      <c s="1638"/>
      <c s="1638"/>
      <c s="353"/>
      <c r="K95" s="1162"/>
      <c s="1638"/>
      <c s="1638"/>
      <c s="1162"/>
      <c s="1162"/>
      <c s="1162"/>
      <c s="1162"/>
      <c s="1638"/>
      <c s="1162"/>
      <c s="1162"/>
      <c s="546"/>
      <c s="1162"/>
      <c s="1162"/>
      <c s="1162"/>
      <c s="1162"/>
      <c s="1162"/>
      <c s="1634"/>
      <c s="568"/>
      <c s="568"/>
      <c s="568"/>
      <c s="568"/>
      <c s="1643">
        <v>11</v>
      </c>
    </row>
    <row r="96" spans="1:32" s="1643" customFormat="1" ht="11.55" customHeight="1">
      <c r="A96" s="989"/>
      <c s="1638"/>
      <c s="1638"/>
      <c s="353"/>
      <c r="K96" s="1162"/>
      <c s="1638"/>
      <c s="1638"/>
      <c s="1162"/>
      <c s="1162"/>
      <c s="1162"/>
      <c s="1162"/>
      <c s="1638"/>
      <c s="1162"/>
      <c s="1162"/>
      <c s="546"/>
      <c s="1162"/>
      <c s="1162"/>
      <c s="1162"/>
      <c s="1162"/>
      <c s="1162"/>
      <c s="1634"/>
      <c s="568"/>
      <c s="568"/>
      <c s="568"/>
      <c s="568"/>
      <c s="1643">
        <v>11</v>
      </c>
    </row>
    <row r="97" spans="1:32" s="1643" customFormat="1" ht="11.55" customHeight="1">
      <c r="A97" s="989"/>
      <c s="1638"/>
      <c s="1638"/>
      <c s="353"/>
      <c r="K97" s="1162"/>
      <c s="1638"/>
      <c s="1638"/>
      <c s="1162"/>
      <c s="1162"/>
      <c s="1162"/>
      <c s="1162"/>
      <c s="1638"/>
      <c s="1162"/>
      <c s="1162"/>
      <c s="546"/>
      <c s="1162"/>
      <c s="1162"/>
      <c s="1162"/>
      <c s="1162"/>
      <c s="1162"/>
      <c s="1634"/>
      <c s="568"/>
      <c s="568"/>
      <c s="568"/>
      <c s="568"/>
      <c s="1643">
        <v>11</v>
      </c>
    </row>
    <row r="98" spans="1:32" s="1643" customFormat="1" ht="11.55" customHeight="1">
      <c r="A98" s="989"/>
      <c s="1638"/>
      <c s="1638"/>
      <c s="353"/>
      <c r="K98" s="1162"/>
      <c s="1638"/>
      <c s="1638"/>
      <c s="1162"/>
      <c s="1162"/>
      <c s="1162"/>
      <c s="1162"/>
      <c s="1638"/>
      <c s="1162"/>
      <c s="1162"/>
      <c s="546"/>
      <c s="1162"/>
      <c s="1162"/>
      <c s="1162"/>
      <c s="1162"/>
      <c s="1162"/>
      <c s="1634"/>
      <c s="568"/>
      <c s="568"/>
      <c s="568"/>
      <c s="568"/>
      <c s="1643">
        <v>11</v>
      </c>
    </row>
    <row r="99" spans="1:32" s="1643" customFormat="1" ht="11.55" customHeight="1">
      <c r="A99" s="989"/>
      <c s="1638"/>
      <c s="1638"/>
      <c s="353"/>
      <c r="K99" s="1162"/>
      <c s="1638"/>
      <c s="1638"/>
      <c s="1162"/>
      <c s="1162"/>
      <c s="1162"/>
      <c s="1162"/>
      <c s="1638"/>
      <c s="1162"/>
      <c s="1162"/>
      <c s="546"/>
      <c s="1162"/>
      <c s="1162"/>
      <c s="1162"/>
      <c s="1162"/>
      <c s="1162"/>
      <c s="1634"/>
      <c s="568"/>
      <c s="568"/>
      <c s="568"/>
      <c s="568"/>
      <c s="1643">
        <v>11</v>
      </c>
    </row>
    <row r="100" spans="1:32" s="1643" customFormat="1" ht="11.55" customHeight="1">
      <c r="A100" s="989"/>
      <c s="1638"/>
      <c s="1638"/>
      <c s="353"/>
      <c r="K100" s="1162"/>
      <c s="1638"/>
      <c s="1638"/>
      <c s="1162"/>
      <c s="1162"/>
      <c s="1162"/>
      <c s="1162"/>
      <c s="1638"/>
      <c s="1162"/>
      <c s="1162"/>
      <c s="546"/>
      <c s="1162"/>
      <c s="1162"/>
      <c s="1162"/>
      <c s="1162"/>
      <c s="1162"/>
      <c s="1634"/>
      <c s="568"/>
      <c s="568"/>
      <c s="568"/>
      <c s="568"/>
      <c s="1643">
        <v>11</v>
      </c>
    </row>
    <row r="101" spans="1:32" s="1643" customFormat="1" ht="11.55" customHeight="1">
      <c r="A101" s="989"/>
      <c s="1638"/>
      <c s="1638"/>
      <c s="353"/>
      <c r="K101" s="1162"/>
      <c s="1638"/>
      <c s="1638"/>
      <c s="1162"/>
      <c s="1162"/>
      <c s="1162"/>
      <c s="1162"/>
      <c s="1638"/>
      <c s="1162"/>
      <c s="1162"/>
      <c s="546"/>
      <c s="1162"/>
      <c s="1162"/>
      <c s="1162"/>
      <c s="1162"/>
      <c s="1162"/>
      <c s="1634"/>
      <c s="568"/>
      <c s="568"/>
      <c s="568"/>
      <c s="568"/>
      <c s="1643">
        <v>11</v>
      </c>
    </row>
    <row r="102" spans="1:32" s="1643" customFormat="1" ht="11.55" customHeight="1">
      <c r="A102" s="989"/>
      <c s="1638"/>
      <c s="1638"/>
      <c s="353"/>
      <c r="K102" s="1162"/>
      <c s="1638"/>
      <c s="1638"/>
      <c s="1162"/>
      <c s="1162"/>
      <c s="1162"/>
      <c s="1162"/>
      <c s="1638"/>
      <c s="1162"/>
      <c s="1162"/>
      <c s="546"/>
      <c s="1162"/>
      <c s="1162"/>
      <c s="1162"/>
      <c s="1162"/>
      <c s="1162"/>
      <c s="1634"/>
      <c s="568"/>
      <c s="568"/>
      <c s="568"/>
      <c s="568"/>
      <c s="1643">
        <v>11</v>
      </c>
    </row>
    <row r="103" spans="1:32" s="1643" customFormat="1" ht="11.55" customHeight="1">
      <c r="A103" s="989"/>
      <c s="1638"/>
      <c s="1638"/>
      <c s="353"/>
      <c r="K103" s="1162"/>
      <c s="1638"/>
      <c s="1638"/>
      <c s="1162"/>
      <c s="1162"/>
      <c s="1162"/>
      <c s="1162"/>
      <c s="1638"/>
      <c s="1162"/>
      <c s="1162"/>
      <c s="546"/>
      <c s="1162"/>
      <c s="1162"/>
      <c s="1162"/>
      <c s="1162"/>
      <c s="1162"/>
      <c s="1634"/>
      <c s="568"/>
      <c s="568"/>
      <c s="568"/>
      <c s="568"/>
      <c s="1643">
        <v>11</v>
      </c>
    </row>
    <row r="104" spans="1:32" s="1643" customFormat="1" ht="11.55" customHeight="1">
      <c r="A104" s="989"/>
      <c s="1638"/>
      <c s="1638"/>
      <c s="353"/>
      <c r="K104" s="1162"/>
      <c s="1638"/>
      <c s="1638"/>
      <c s="1162"/>
      <c s="1162"/>
      <c s="1162"/>
      <c s="1162"/>
      <c s="1638"/>
      <c s="1162"/>
      <c s="1162"/>
      <c s="546"/>
      <c s="1162"/>
      <c s="1162"/>
      <c s="1162"/>
      <c s="1162"/>
      <c s="1162"/>
      <c s="1634"/>
      <c s="568"/>
      <c s="568"/>
      <c s="568"/>
      <c s="568"/>
      <c s="1643">
        <v>11</v>
      </c>
    </row>
    <row r="105" spans="1:32" s="1643" customFormat="1" ht="11.55" customHeight="1">
      <c r="A105" s="989"/>
      <c s="1638"/>
      <c s="1638"/>
      <c s="353"/>
      <c r="K105" s="1162"/>
      <c s="1638"/>
      <c s="1638"/>
      <c s="1162"/>
      <c s="1162"/>
      <c s="1162"/>
      <c s="1162"/>
      <c s="1638"/>
      <c s="1162"/>
      <c s="1162"/>
      <c s="546"/>
      <c s="1162"/>
      <c s="1162"/>
      <c s="1162"/>
      <c s="1162"/>
      <c s="1162"/>
      <c s="1634"/>
      <c s="568"/>
      <c s="568"/>
      <c s="568"/>
      <c s="568"/>
      <c s="1643">
        <v>11</v>
      </c>
    </row>
    <row r="106" spans="1:32" s="1643" customFormat="1" ht="11.55" customHeight="1">
      <c r="A106" s="989"/>
      <c s="1638"/>
      <c s="1638"/>
      <c s="353"/>
      <c r="K106" s="1162"/>
      <c s="1638"/>
      <c s="1638"/>
      <c s="1162"/>
      <c s="1162"/>
      <c s="1162"/>
      <c s="1162"/>
      <c s="1638"/>
      <c s="1162"/>
      <c s="1162"/>
      <c s="546"/>
      <c s="1162"/>
      <c s="1162"/>
      <c s="1162"/>
      <c s="1162"/>
      <c s="1162"/>
      <c s="1634"/>
      <c s="568"/>
      <c s="568"/>
      <c s="568"/>
      <c s="568"/>
      <c s="1643">
        <v>11</v>
      </c>
    </row>
    <row r="107" spans="1:32" s="1643" customFormat="1" ht="11.55" customHeight="1">
      <c r="A107" s="989"/>
      <c s="1638"/>
      <c s="1638"/>
      <c s="353"/>
      <c r="K107" s="1162"/>
      <c s="1638"/>
      <c s="1638"/>
      <c s="1162"/>
      <c s="1162"/>
      <c s="1162"/>
      <c s="1162"/>
      <c s="1638"/>
      <c s="1162"/>
      <c s="1162"/>
      <c s="546"/>
      <c s="1162"/>
      <c s="1162"/>
      <c s="1162"/>
      <c s="1162"/>
      <c s="1162"/>
      <c s="1634"/>
      <c s="568"/>
      <c s="568"/>
      <c s="568"/>
      <c s="568"/>
      <c s="1643">
        <v>11</v>
      </c>
    </row>
    <row r="108" spans="1:32" s="1643" customFormat="1" ht="11.55" customHeight="1">
      <c r="A108" s="989"/>
      <c s="1638"/>
      <c s="1638"/>
      <c s="353"/>
      <c r="K108" s="1162"/>
      <c s="1638"/>
      <c s="1638"/>
      <c s="1162"/>
      <c s="1162"/>
      <c s="1162"/>
      <c s="1162"/>
      <c s="1638"/>
      <c s="1162"/>
      <c s="1162"/>
      <c s="546"/>
      <c s="1162"/>
      <c s="1162"/>
      <c s="1162"/>
      <c s="1162"/>
      <c s="1162"/>
      <c s="1634"/>
      <c s="568"/>
      <c s="568"/>
      <c s="568"/>
      <c s="568"/>
      <c s="1643">
        <v>11</v>
      </c>
    </row>
    <row r="109" spans="1:32" s="1643" customFormat="1" ht="11.55" customHeight="1">
      <c r="A109" s="989"/>
      <c s="1638"/>
      <c s="1638"/>
      <c s="353"/>
      <c r="K109" s="1162"/>
      <c s="1638"/>
      <c s="1638"/>
      <c s="1162"/>
      <c s="1162"/>
      <c s="1162"/>
      <c s="1162"/>
      <c s="1638"/>
      <c s="1162"/>
      <c s="1162"/>
      <c s="546"/>
      <c s="1162"/>
      <c s="1162"/>
      <c s="1162"/>
      <c s="1162"/>
      <c s="1162"/>
      <c s="1634"/>
      <c s="568"/>
      <c s="568"/>
      <c s="568"/>
      <c s="568"/>
      <c s="1643">
        <v>11</v>
      </c>
    </row>
    <row r="110" spans="1:32" s="1643" customFormat="1" ht="11.55" customHeight="1">
      <c r="A110" s="989"/>
      <c s="1638"/>
      <c s="1638"/>
      <c s="353"/>
      <c r="K110" s="1162"/>
      <c s="1638"/>
      <c s="1638"/>
      <c s="1162"/>
      <c s="1162"/>
      <c s="1162"/>
      <c s="1162"/>
      <c s="1638"/>
      <c s="1162"/>
      <c s="1162"/>
      <c s="546"/>
      <c s="1162"/>
      <c s="1162"/>
      <c s="1162"/>
      <c s="1162"/>
      <c s="1162"/>
      <c s="1634"/>
      <c s="568"/>
      <c s="568"/>
      <c s="568"/>
      <c s="568"/>
      <c s="1643">
        <v>11</v>
      </c>
    </row>
    <row r="111" spans="1:32" s="1643" customFormat="1" ht="11.55" customHeight="1">
      <c r="A111" s="989"/>
      <c s="1638"/>
      <c s="1638"/>
      <c s="353"/>
      <c r="K111" s="1162"/>
      <c s="1638"/>
      <c s="1638"/>
      <c s="1162"/>
      <c s="1162"/>
      <c s="1162"/>
      <c s="1162"/>
      <c s="1638"/>
      <c s="1162"/>
      <c s="1162"/>
      <c s="546"/>
      <c s="1162"/>
      <c s="1162"/>
      <c s="1162"/>
      <c s="1162"/>
      <c s="1162"/>
      <c s="1634"/>
      <c s="568"/>
      <c s="568"/>
      <c s="568"/>
      <c s="568"/>
      <c s="1643">
        <v>11</v>
      </c>
    </row>
    <row r="112" spans="1:32" s="1643" customFormat="1" ht="11.55" customHeight="1">
      <c r="A112" s="989"/>
      <c s="1638"/>
      <c s="1638"/>
      <c s="353"/>
      <c r="K112" s="1162"/>
      <c s="1638"/>
      <c s="1638"/>
      <c s="1162"/>
      <c s="1162"/>
      <c s="1162"/>
      <c s="1162"/>
      <c s="1638"/>
      <c s="1162"/>
      <c s="1162"/>
      <c s="546"/>
      <c s="1162"/>
      <c s="1162"/>
      <c s="1162"/>
      <c s="1162"/>
      <c s="1162"/>
      <c s="1634"/>
      <c s="568"/>
      <c s="568"/>
      <c s="568"/>
      <c s="568"/>
      <c s="1643">
        <v>11</v>
      </c>
    </row>
    <row r="113" spans="1:32" s="1643" customFormat="1" ht="11.55" customHeight="1">
      <c r="A113" s="989"/>
      <c s="1638"/>
      <c s="1638"/>
      <c s="353"/>
      <c r="K113" s="1162"/>
      <c s="1638"/>
      <c s="1638"/>
      <c s="1162"/>
      <c s="1162"/>
      <c s="1162"/>
      <c s="1162"/>
      <c s="1638"/>
      <c s="1162"/>
      <c s="1162"/>
      <c s="546"/>
      <c s="1162"/>
      <c s="1162"/>
      <c s="1162"/>
      <c s="1162"/>
      <c s="1162"/>
      <c s="1634"/>
      <c s="568"/>
      <c s="568"/>
      <c s="568"/>
      <c s="568"/>
      <c s="1643">
        <v>11</v>
      </c>
    </row>
    <row r="114" spans="1:32" s="1643" customFormat="1" ht="11.55" customHeight="1">
      <c r="A114" s="989"/>
      <c s="1638"/>
      <c s="1638"/>
      <c s="353"/>
      <c r="K114" s="1162"/>
      <c s="1638"/>
      <c s="1638"/>
      <c s="1162"/>
      <c s="1162"/>
      <c s="1162"/>
      <c s="1162"/>
      <c s="1638"/>
      <c s="1162"/>
      <c s="1162"/>
      <c s="546"/>
      <c s="1162"/>
      <c s="1162"/>
      <c s="1162"/>
      <c s="1162"/>
      <c s="1162"/>
      <c s="1634"/>
      <c s="568"/>
      <c s="568"/>
      <c s="568"/>
      <c s="568"/>
      <c s="1643">
        <v>11</v>
      </c>
    </row>
    <row r="115" spans="1:32" s="1643" customFormat="1" ht="11.55" customHeight="1">
      <c r="A115" s="989"/>
      <c s="1638"/>
      <c s="1638"/>
      <c s="353"/>
      <c r="K115" s="1162"/>
      <c s="1638"/>
      <c s="1638"/>
      <c s="1162"/>
      <c s="1162"/>
      <c s="1162"/>
      <c s="1162"/>
      <c s="1638"/>
      <c s="1162"/>
      <c s="1162"/>
      <c s="546"/>
      <c s="1162"/>
      <c s="1162"/>
      <c s="1162"/>
      <c s="1162"/>
      <c s="1162"/>
      <c s="1634"/>
      <c s="568"/>
      <c s="568"/>
      <c s="568"/>
      <c s="568"/>
      <c s="1643">
        <v>11</v>
      </c>
    </row>
    <row r="116" spans="1:32" s="1643" customFormat="1" ht="11.55" customHeight="1">
      <c r="A116" s="989"/>
      <c s="1638"/>
      <c s="1638"/>
      <c s="353"/>
      <c r="K116" s="1162"/>
      <c s="1638"/>
      <c s="1638"/>
      <c s="1162"/>
      <c s="1162"/>
      <c s="1162"/>
      <c s="1162"/>
      <c s="1638"/>
      <c s="1162"/>
      <c s="1162"/>
      <c s="546"/>
      <c s="1162"/>
      <c s="1162"/>
      <c s="1162"/>
      <c s="1162"/>
      <c s="1162"/>
      <c s="1634"/>
      <c s="568"/>
      <c s="568"/>
      <c s="568"/>
      <c s="568"/>
      <c s="1643">
        <v>11</v>
      </c>
    </row>
    <row r="117" spans="1:32" s="1643" customFormat="1" ht="11.55" customHeight="1">
      <c r="A117" s="989"/>
      <c s="1638"/>
      <c s="1638"/>
      <c s="353"/>
      <c r="K117" s="1162"/>
      <c s="1638"/>
      <c s="1638"/>
      <c s="1162"/>
      <c s="1162"/>
      <c s="1162"/>
      <c s="1162"/>
      <c s="1638"/>
      <c s="1162"/>
      <c s="1162"/>
      <c s="546"/>
      <c s="1162"/>
      <c s="1162"/>
      <c s="1162"/>
      <c s="1162"/>
      <c s="1162"/>
      <c s="1634"/>
      <c s="568"/>
      <c s="568"/>
      <c s="568"/>
      <c s="568"/>
      <c s="1643">
        <v>11</v>
      </c>
    </row>
    <row r="118" spans="1:32" s="1643" customFormat="1" ht="11.55" customHeight="1">
      <c r="A118" s="989"/>
      <c s="1638"/>
      <c s="1638"/>
      <c s="353"/>
      <c r="K118" s="1162"/>
      <c s="1638"/>
      <c s="1638"/>
      <c s="1162"/>
      <c s="1162"/>
      <c s="1162"/>
      <c s="1162"/>
      <c s="1638"/>
      <c s="1162"/>
      <c s="1162"/>
      <c s="546"/>
      <c s="1162"/>
      <c s="1162"/>
      <c s="1162"/>
      <c s="1162"/>
      <c s="1162"/>
      <c s="1634"/>
      <c s="568"/>
      <c s="568"/>
      <c s="568"/>
      <c s="568"/>
      <c s="1643">
        <v>11</v>
      </c>
    </row>
    <row r="119" spans="1:32" s="1643" customFormat="1" ht="11.55" customHeight="1">
      <c r="A119" s="989"/>
      <c s="1638"/>
      <c s="1638"/>
      <c s="353"/>
      <c r="K119" s="1162"/>
      <c s="1638"/>
      <c s="1638"/>
      <c s="1162"/>
      <c s="1162"/>
      <c s="1162"/>
      <c s="1162"/>
      <c s="1638"/>
      <c s="1162"/>
      <c s="1162"/>
      <c s="546"/>
      <c s="1162"/>
      <c s="1162"/>
      <c s="1162"/>
      <c s="1162"/>
      <c s="1162"/>
      <c s="1634"/>
      <c s="568"/>
      <c s="568"/>
      <c s="568"/>
      <c s="568"/>
      <c s="1643">
        <v>11</v>
      </c>
    </row>
    <row r="120" spans="1:32" s="1643" customFormat="1" ht="11.55" customHeight="1">
      <c r="A120" s="989"/>
      <c s="1638"/>
      <c s="1638"/>
      <c s="353"/>
      <c r="K120" s="1162"/>
      <c s="1638"/>
      <c s="1638"/>
      <c s="1162"/>
      <c s="1162"/>
      <c s="1162"/>
      <c s="1162"/>
      <c s="1638"/>
      <c s="1162"/>
      <c s="1162"/>
      <c s="546"/>
      <c s="1162"/>
      <c s="1162"/>
      <c s="1162"/>
      <c s="1162"/>
      <c s="1162"/>
      <c s="1634"/>
      <c s="568"/>
      <c s="568"/>
      <c s="568"/>
      <c s="568"/>
      <c s="1643">
        <v>11</v>
      </c>
    </row>
    <row r="121" spans="1:32" s="1643" customFormat="1" ht="11.55" customHeight="1">
      <c r="A121" s="989"/>
      <c s="1638"/>
      <c s="1638"/>
      <c s="353"/>
      <c r="K121" s="1162"/>
      <c s="1638"/>
      <c s="1638"/>
      <c s="1162"/>
      <c s="1162"/>
      <c s="1162"/>
      <c s="1162"/>
      <c s="1638"/>
      <c s="1162"/>
      <c s="1162"/>
      <c s="546"/>
      <c s="1162"/>
      <c s="1162"/>
      <c s="1162"/>
      <c s="1162"/>
      <c s="1162"/>
      <c s="1634"/>
      <c s="568"/>
      <c s="568"/>
      <c s="568"/>
      <c s="568"/>
      <c s="1643">
        <v>11</v>
      </c>
    </row>
    <row r="122" spans="1:32" s="1643" customFormat="1" ht="11.55" customHeight="1">
      <c r="A122" s="989"/>
      <c s="1638"/>
      <c s="1638"/>
      <c s="353"/>
      <c r="K122" s="1162"/>
      <c s="1638"/>
      <c s="1638"/>
      <c s="1162"/>
      <c s="1162"/>
      <c s="1162"/>
      <c s="1162"/>
      <c s="1638"/>
      <c s="1162"/>
      <c s="1162"/>
      <c s="546"/>
      <c s="1162"/>
      <c s="1162"/>
      <c s="1162"/>
      <c s="1162"/>
      <c s="1162"/>
      <c s="1634"/>
      <c s="568"/>
      <c s="568"/>
      <c s="568"/>
      <c s="568"/>
      <c s="1643">
        <v>11</v>
      </c>
    </row>
    <row r="123" spans="1:32" s="1643" customFormat="1" ht="11.55" customHeight="1">
      <c r="A123" s="989"/>
      <c s="1638"/>
      <c s="1638"/>
      <c s="353"/>
      <c r="K123" s="1162"/>
      <c s="1638"/>
      <c s="1638"/>
      <c s="1162"/>
      <c s="1162"/>
      <c s="1162"/>
      <c s="1162"/>
      <c s="1638"/>
      <c s="1162"/>
      <c s="1162"/>
      <c s="546"/>
      <c s="1162"/>
      <c s="1162"/>
      <c s="1162"/>
      <c s="1162"/>
      <c s="1162"/>
      <c s="1634"/>
      <c s="568"/>
      <c s="568"/>
      <c s="568"/>
      <c s="568"/>
      <c s="1643">
        <v>11</v>
      </c>
    </row>
    <row r="124" spans="1:32" s="1643" customFormat="1" ht="11.55" customHeight="1">
      <c r="A124" s="989"/>
      <c s="1638"/>
      <c s="1638"/>
      <c s="353"/>
      <c r="K124" s="1162"/>
      <c s="1638"/>
      <c s="1638"/>
      <c s="1162"/>
      <c s="1162"/>
      <c s="1162"/>
      <c s="1162"/>
      <c s="1638"/>
      <c s="1162"/>
      <c s="1162"/>
      <c s="546"/>
      <c s="1162"/>
      <c s="1162"/>
      <c s="1162"/>
      <c s="1162"/>
      <c s="1162"/>
      <c s="1634"/>
      <c s="568"/>
      <c s="568"/>
      <c s="568"/>
      <c s="568"/>
      <c s="1643">
        <v>11</v>
      </c>
    </row>
    <row r="125" spans="1:32" s="1643" customFormat="1" ht="11.55" customHeight="1">
      <c r="A125" s="989"/>
      <c s="1638"/>
      <c s="1638"/>
      <c s="353"/>
      <c r="K125" s="1162"/>
      <c s="1638"/>
      <c s="1638"/>
      <c s="1162"/>
      <c s="1162"/>
      <c s="1162"/>
      <c s="1162"/>
      <c s="1638"/>
      <c s="1162"/>
      <c s="1162"/>
      <c s="546"/>
      <c s="1162"/>
      <c s="1162"/>
      <c s="1162"/>
      <c s="1162"/>
      <c s="1162"/>
      <c s="1634"/>
      <c s="568"/>
      <c s="568"/>
      <c s="568"/>
      <c s="568"/>
      <c s="1643">
        <v>11</v>
      </c>
    </row>
    <row r="126" spans="1:32" s="1643" customFormat="1" ht="11.55" customHeight="1">
      <c r="A126" s="989"/>
      <c s="1638"/>
      <c s="1638"/>
      <c s="353"/>
      <c r="K126" s="1162"/>
      <c s="1638"/>
      <c s="1638"/>
      <c s="1162"/>
      <c s="1162"/>
      <c s="1162"/>
      <c s="1162"/>
      <c s="1638"/>
      <c s="1162"/>
      <c s="1162"/>
      <c s="546"/>
      <c s="1162"/>
      <c s="1162"/>
      <c s="1162"/>
      <c s="1162"/>
      <c s="1162"/>
      <c s="1634"/>
      <c s="568"/>
      <c s="568"/>
      <c s="568"/>
      <c s="568"/>
      <c s="1643">
        <v>11</v>
      </c>
    </row>
    <row r="127" spans="1:32" s="1643" customFormat="1" ht="11.55" customHeight="1">
      <c r="A127" s="989"/>
      <c s="1638"/>
      <c s="1638"/>
      <c s="353"/>
      <c r="K127" s="1162"/>
      <c s="1638"/>
      <c s="1638"/>
      <c s="1162"/>
      <c s="1162"/>
      <c s="1162"/>
      <c s="1162"/>
      <c s="1638"/>
      <c s="1162"/>
      <c s="1162"/>
      <c s="546"/>
      <c s="1162"/>
      <c s="1162"/>
      <c s="1162"/>
      <c s="1162"/>
      <c s="1162"/>
      <c s="1634"/>
      <c s="568"/>
      <c s="568"/>
      <c s="568"/>
      <c s="568"/>
      <c s="1643">
        <v>11</v>
      </c>
    </row>
    <row r="128" spans="1:32" s="1643" customFormat="1" ht="11.55" customHeight="1">
      <c r="A128" s="989"/>
      <c s="1638"/>
      <c s="1638"/>
      <c s="353"/>
      <c r="K128" s="1162"/>
      <c s="1638"/>
      <c s="1638"/>
      <c s="1162"/>
      <c s="1162"/>
      <c s="1162"/>
      <c s="1162"/>
      <c s="1638"/>
      <c s="1162"/>
      <c s="1162"/>
      <c s="546"/>
      <c s="1162"/>
      <c s="1162"/>
      <c s="1162"/>
      <c s="1162"/>
      <c s="1162"/>
      <c s="1634"/>
      <c s="568"/>
      <c s="568"/>
      <c s="568"/>
      <c s="568"/>
      <c s="1643">
        <v>11</v>
      </c>
    </row>
    <row r="129" spans="1:32" s="1643" customFormat="1" ht="11.55" customHeight="1">
      <c r="A129" s="989"/>
      <c s="1638"/>
      <c s="1638"/>
      <c s="353"/>
      <c r="K129" s="1162"/>
      <c s="1638"/>
      <c s="1638"/>
      <c s="1162"/>
      <c s="1162"/>
      <c s="1162"/>
      <c s="1162"/>
      <c s="1638"/>
      <c s="1162"/>
      <c s="1162"/>
      <c s="546"/>
      <c s="1162"/>
      <c s="1162"/>
      <c s="1162"/>
      <c s="1162"/>
      <c s="1162"/>
      <c s="1634"/>
      <c s="568"/>
      <c s="568"/>
      <c s="568"/>
      <c s="568"/>
      <c s="1643">
        <v>11</v>
      </c>
    </row>
    <row r="130" spans="1:32" s="1643" customFormat="1" ht="11.55" customHeight="1">
      <c r="A130" s="989"/>
      <c s="1638"/>
      <c s="1638"/>
      <c s="353"/>
      <c r="K130" s="1162"/>
      <c s="1638"/>
      <c s="1638"/>
      <c s="1162"/>
      <c s="1162"/>
      <c s="1162"/>
      <c s="1162"/>
      <c s="1638"/>
      <c s="1162"/>
      <c s="1162"/>
      <c s="546"/>
      <c s="1162"/>
      <c s="1162"/>
      <c s="1162"/>
      <c s="1162"/>
      <c s="1162"/>
      <c s="1634"/>
      <c s="568"/>
      <c s="568"/>
      <c s="568"/>
      <c s="568"/>
      <c s="1643">
        <v>11</v>
      </c>
    </row>
    <row r="131" spans="1:32" s="1643" customFormat="1" ht="11.55" customHeight="1">
      <c r="A131" s="989"/>
      <c s="1638"/>
      <c s="1638"/>
      <c s="353"/>
      <c r="K131" s="1162"/>
      <c s="1638"/>
      <c s="1638"/>
      <c s="1162"/>
      <c s="1162"/>
      <c s="1162"/>
      <c s="1162"/>
      <c s="1638"/>
      <c s="1162"/>
      <c s="1162"/>
      <c s="546"/>
      <c s="1162"/>
      <c s="1162"/>
      <c s="1162"/>
      <c s="1162"/>
      <c s="1162"/>
      <c s="1634"/>
      <c s="568"/>
      <c s="568"/>
      <c s="568"/>
      <c s="568"/>
      <c s="1643">
        <v>11</v>
      </c>
    </row>
    <row r="132" spans="1:32" s="1643" customFormat="1" ht="11.55" customHeight="1">
      <c r="A132" s="989"/>
      <c s="1638"/>
      <c s="1638"/>
      <c s="353"/>
      <c r="K132" s="1162"/>
      <c s="1638"/>
      <c s="1638"/>
      <c s="1162"/>
      <c s="1162"/>
      <c s="1162"/>
      <c s="1162"/>
      <c s="1638"/>
      <c s="1162"/>
      <c s="1162"/>
      <c s="546"/>
      <c s="1162"/>
      <c s="1162"/>
      <c s="1162"/>
      <c s="1162"/>
      <c s="1162"/>
      <c s="1634"/>
      <c s="568"/>
      <c s="568"/>
      <c s="568"/>
      <c s="568"/>
      <c s="1643">
        <v>11</v>
      </c>
    </row>
    <row r="133" spans="1:32" s="1643" customFormat="1" ht="11.55" customHeight="1">
      <c r="A133" s="989"/>
      <c s="1638"/>
      <c s="1638"/>
      <c s="353"/>
      <c r="K133" s="1162"/>
      <c s="1638"/>
      <c s="1638"/>
      <c s="1162"/>
      <c s="1162"/>
      <c s="1162"/>
      <c s="1162"/>
      <c s="1638"/>
      <c s="1162"/>
      <c s="1162"/>
      <c s="546"/>
      <c s="1162"/>
      <c s="1162"/>
      <c s="1162"/>
      <c s="1162"/>
      <c s="1162"/>
      <c s="1634"/>
      <c s="568"/>
      <c s="568"/>
      <c s="568"/>
      <c s="568"/>
      <c s="1643">
        <v>11</v>
      </c>
    </row>
    <row r="134" spans="1:32" s="1643" customFormat="1" ht="11.55" customHeight="1">
      <c r="A134" s="989"/>
      <c s="1638"/>
      <c s="1638"/>
      <c s="353"/>
      <c r="K134" s="1162"/>
      <c s="1638"/>
      <c s="1638"/>
      <c s="1162"/>
      <c s="1162"/>
      <c s="1162"/>
      <c s="1162"/>
      <c s="1638"/>
      <c s="1162"/>
      <c s="1162"/>
      <c s="546"/>
      <c s="1162"/>
      <c s="1162"/>
      <c s="1162"/>
      <c s="1162"/>
      <c s="1162"/>
      <c s="1634"/>
      <c s="568"/>
      <c s="568"/>
      <c s="568"/>
      <c s="568"/>
      <c s="1643">
        <v>11</v>
      </c>
    </row>
    <row r="135" spans="1:32" s="1643" customFormat="1" ht="11.55" customHeight="1">
      <c r="A135" s="989"/>
      <c s="1638"/>
      <c s="1638"/>
      <c s="353"/>
      <c r="K135" s="1162"/>
      <c s="1638"/>
      <c s="1638"/>
      <c s="1162"/>
      <c s="1162"/>
      <c s="1162"/>
      <c s="1162"/>
      <c s="1638"/>
      <c s="1162"/>
      <c s="1162"/>
      <c s="546"/>
      <c s="1162"/>
      <c s="1162"/>
      <c s="1162"/>
      <c s="1162"/>
      <c s="1162"/>
      <c s="1634"/>
      <c s="568"/>
      <c s="568"/>
      <c s="568"/>
      <c s="568"/>
      <c s="1643">
        <v>11</v>
      </c>
    </row>
    <row r="136" spans="1:32" s="1643" customFormat="1" ht="11.55" customHeight="1">
      <c r="A136" s="989"/>
      <c s="1638"/>
      <c s="1638"/>
      <c s="353"/>
      <c r="K136" s="1162"/>
      <c s="1638"/>
      <c s="1638"/>
      <c s="1162"/>
      <c s="1162"/>
      <c s="1162"/>
      <c s="1162"/>
      <c s="1638"/>
      <c s="1162"/>
      <c s="1162"/>
      <c s="546"/>
      <c s="1162"/>
      <c s="1162"/>
      <c s="1162"/>
      <c s="1162"/>
      <c s="1162"/>
      <c s="1634"/>
      <c s="568"/>
      <c s="568"/>
      <c s="568"/>
      <c s="568"/>
      <c s="1643">
        <v>11</v>
      </c>
    </row>
    <row r="137" spans="1:32" s="1643" customFormat="1" ht="11.55" customHeight="1">
      <c r="A137" s="989"/>
      <c s="1638"/>
      <c s="1638"/>
      <c s="353"/>
      <c r="K137" s="1162"/>
      <c s="1638"/>
      <c s="1638"/>
      <c s="1162"/>
      <c s="1162"/>
      <c s="1162"/>
      <c s="1162"/>
      <c s="1638"/>
      <c s="1162"/>
      <c s="1162"/>
      <c s="546"/>
      <c s="1162"/>
      <c s="1162"/>
      <c s="1162"/>
      <c s="1162"/>
      <c s="1162"/>
      <c s="1634"/>
      <c s="568"/>
      <c s="568"/>
      <c s="568"/>
      <c s="568"/>
      <c s="1643">
        <v>11</v>
      </c>
    </row>
    <row r="138" spans="1:32" s="1643" customFormat="1" ht="11.55" customHeight="1">
      <c r="A138" s="989"/>
      <c s="1638"/>
      <c s="1638"/>
      <c s="353"/>
      <c r="K138" s="1162"/>
      <c s="1638"/>
      <c s="1638"/>
      <c s="1162"/>
      <c s="1162"/>
      <c s="1162"/>
      <c s="1162"/>
      <c s="1638"/>
      <c s="1162"/>
      <c s="1162"/>
      <c s="546"/>
      <c s="1162"/>
      <c s="1162"/>
      <c s="1162"/>
      <c s="1162"/>
      <c s="1162"/>
      <c s="1634"/>
      <c s="568"/>
      <c s="568"/>
      <c s="568"/>
      <c s="568"/>
      <c s="1643">
        <v>11</v>
      </c>
    </row>
    <row r="139" spans="1:32" s="1643" customFormat="1" ht="11.55" customHeight="1">
      <c r="A139" s="989"/>
      <c s="1638"/>
      <c s="1638"/>
      <c s="353"/>
      <c r="K139" s="1162"/>
      <c s="1638"/>
      <c s="1638"/>
      <c s="1162"/>
      <c s="1162"/>
      <c s="1162"/>
      <c s="1162"/>
      <c s="1638"/>
      <c s="1162"/>
      <c s="1162"/>
      <c s="546"/>
      <c s="1162"/>
      <c s="1162"/>
      <c s="1162"/>
      <c s="1162"/>
      <c s="1162"/>
      <c s="1634"/>
      <c s="568"/>
      <c s="568"/>
      <c s="568"/>
      <c s="568"/>
      <c s="1643">
        <v>11</v>
      </c>
    </row>
    <row r="140" spans="1:32" s="1643" customFormat="1" ht="11.55" customHeight="1">
      <c r="A140" s="989"/>
      <c s="1638"/>
      <c s="1638"/>
      <c s="353"/>
      <c r="K140" s="1162"/>
      <c s="1638"/>
      <c s="1638"/>
      <c s="1162"/>
      <c s="1162"/>
      <c s="1162"/>
      <c s="1162"/>
      <c s="1638"/>
      <c s="1162"/>
      <c s="1162"/>
      <c s="546"/>
      <c s="1162"/>
      <c s="1162"/>
      <c s="1162"/>
      <c s="1162"/>
      <c s="1162"/>
      <c s="1634"/>
      <c s="568"/>
      <c s="568"/>
      <c s="568"/>
      <c s="568"/>
      <c s="1643">
        <v>11</v>
      </c>
    </row>
    <row r="141" spans="1:32" s="1643" customFormat="1" ht="11.55" customHeight="1">
      <c r="A141" s="989"/>
      <c s="1638"/>
      <c s="1638"/>
      <c s="353"/>
      <c r="K141" s="1162"/>
      <c s="1638"/>
      <c s="1638"/>
      <c s="1162"/>
      <c s="1162"/>
      <c s="1162"/>
      <c s="1162"/>
      <c s="1638"/>
      <c s="1162"/>
      <c s="1162"/>
      <c s="546"/>
      <c s="1162"/>
      <c s="1162"/>
      <c s="1162"/>
      <c s="1162"/>
      <c s="1162"/>
      <c s="1634"/>
      <c s="568"/>
      <c s="568"/>
      <c s="568"/>
      <c s="568"/>
      <c s="1643">
        <v>11</v>
      </c>
    </row>
    <row r="142" spans="1:32" s="1643" customFormat="1" ht="11.55" customHeight="1">
      <c r="A142" s="989"/>
      <c s="1638"/>
      <c s="1638"/>
      <c s="353"/>
      <c r="K142" s="1162"/>
      <c s="1638"/>
      <c s="1638"/>
      <c s="1162"/>
      <c s="1162"/>
      <c s="1162"/>
      <c s="1162"/>
      <c s="1638"/>
      <c s="1162"/>
      <c s="1162"/>
      <c s="546"/>
      <c s="1162"/>
      <c s="1162"/>
      <c s="1162"/>
      <c s="1162"/>
      <c s="1162"/>
      <c s="1634"/>
      <c s="568"/>
      <c s="568"/>
      <c s="568"/>
      <c s="568"/>
      <c s="1643">
        <v>11</v>
      </c>
    </row>
    <row r="143" spans="1:32" s="1643" customFormat="1" ht="11.55" customHeight="1">
      <c r="A143" s="989"/>
      <c s="1638"/>
      <c s="1638"/>
      <c s="353"/>
      <c r="K143" s="1162"/>
      <c s="1638"/>
      <c s="1638"/>
      <c s="1162"/>
      <c s="1162"/>
      <c s="1162"/>
      <c s="1162"/>
      <c s="1638"/>
      <c s="1162"/>
      <c s="1162"/>
      <c s="546"/>
      <c s="1162"/>
      <c s="1162"/>
      <c s="1162"/>
      <c s="1162"/>
      <c s="1162"/>
      <c s="1634"/>
      <c s="568"/>
      <c s="568"/>
      <c s="568"/>
      <c s="568"/>
      <c s="1643">
        <v>11</v>
      </c>
    </row>
    <row r="144" spans="1:32" s="1643" customFormat="1" ht="11.55" customHeight="1">
      <c r="A144" s="989"/>
      <c s="1638"/>
      <c s="1638"/>
      <c s="353"/>
      <c r="K144" s="1162"/>
      <c s="1638"/>
      <c s="1638"/>
      <c s="1162"/>
      <c s="1162"/>
      <c s="1162"/>
      <c s="1162"/>
      <c s="1638"/>
      <c s="1162"/>
      <c s="1162"/>
      <c s="546"/>
      <c s="1162"/>
      <c s="1162"/>
      <c s="1162"/>
      <c s="1162"/>
      <c s="1162"/>
      <c s="1634"/>
      <c s="568"/>
      <c s="568"/>
      <c s="568"/>
      <c s="568"/>
      <c s="1643">
        <v>11</v>
      </c>
    </row>
    <row r="145" spans="1:32" s="1643" customFormat="1" ht="11.55" customHeight="1">
      <c r="A145" s="989"/>
      <c s="1638"/>
      <c s="1638"/>
      <c s="353"/>
      <c r="K145" s="1162"/>
      <c s="1638"/>
      <c s="1638"/>
      <c s="1162"/>
      <c s="1162"/>
      <c s="1162"/>
      <c s="1162"/>
      <c s="1638"/>
      <c s="1162"/>
      <c s="1162"/>
      <c s="546"/>
      <c s="1162"/>
      <c s="1162"/>
      <c s="1162"/>
      <c s="1162"/>
      <c s="1162"/>
      <c s="1634"/>
      <c s="568"/>
      <c s="568"/>
      <c s="568"/>
      <c s="568"/>
      <c s="1643">
        <v>11</v>
      </c>
    </row>
    <row r="146" spans="1:32" s="1643" customFormat="1" ht="11.55" customHeight="1">
      <c r="A146" s="989"/>
      <c s="1638"/>
      <c s="1638"/>
      <c s="353"/>
      <c r="K146" s="1162"/>
      <c s="1638"/>
      <c s="1638"/>
      <c s="1162"/>
      <c s="1162"/>
      <c s="1162"/>
      <c s="1162"/>
      <c s="1638"/>
      <c s="1162"/>
      <c s="1162"/>
      <c s="546"/>
      <c s="1162"/>
      <c s="1162"/>
      <c s="1162"/>
      <c s="1162"/>
      <c s="1162"/>
      <c s="1634"/>
      <c s="568"/>
      <c s="568"/>
      <c s="568"/>
      <c s="568"/>
      <c s="1643">
        <v>11</v>
      </c>
    </row>
    <row r="147" spans="1:32" s="1643" customFormat="1" ht="11.55" customHeight="1">
      <c r="A147" s="989"/>
      <c s="1638"/>
      <c s="1638"/>
      <c s="353"/>
      <c r="K147" s="1162"/>
      <c s="1638"/>
      <c s="1638"/>
      <c s="1162"/>
      <c s="1162"/>
      <c s="1162"/>
      <c s="1162"/>
      <c s="1638"/>
      <c s="1162"/>
      <c s="1162"/>
      <c s="546"/>
      <c s="1162"/>
      <c s="1162"/>
      <c s="1162"/>
      <c s="1162"/>
      <c s="1162"/>
      <c s="1634"/>
      <c s="568"/>
      <c s="568"/>
      <c s="568"/>
      <c s="568"/>
      <c s="1643">
        <v>11</v>
      </c>
    </row>
    <row r="148" spans="1:32" s="1643" customFormat="1" ht="11.55" customHeight="1">
      <c r="A148" s="989"/>
      <c s="1638"/>
      <c s="1638"/>
      <c s="353"/>
      <c r="K148" s="1162"/>
      <c s="1638"/>
      <c s="1638"/>
      <c s="1162"/>
      <c s="1162"/>
      <c s="1162"/>
      <c s="1162"/>
      <c s="1638"/>
      <c s="1162"/>
      <c s="1162"/>
      <c s="546"/>
      <c s="1162"/>
      <c s="1162"/>
      <c s="1162"/>
      <c s="1162"/>
      <c s="1162"/>
      <c s="1634"/>
      <c s="568"/>
      <c s="568"/>
      <c s="568"/>
      <c s="568"/>
      <c s="1643">
        <v>11</v>
      </c>
    </row>
    <row r="149" spans="1:32" s="1643" customFormat="1" ht="11.55" customHeight="1">
      <c r="A149" s="989"/>
      <c s="1638"/>
      <c s="1638"/>
      <c s="353"/>
      <c r="K149" s="1162"/>
      <c s="1638"/>
      <c s="1638"/>
      <c s="1162"/>
      <c s="1162"/>
      <c s="1162"/>
      <c s="1162"/>
      <c s="1638"/>
      <c s="1162"/>
      <c s="1162"/>
      <c s="546"/>
      <c s="1162"/>
      <c s="1162"/>
      <c s="1162"/>
      <c s="1162"/>
      <c s="1162"/>
      <c s="1634"/>
      <c s="568"/>
      <c s="568"/>
      <c s="568"/>
      <c s="568"/>
      <c s="1643">
        <v>11</v>
      </c>
    </row>
    <row r="150" spans="1:32" s="1643" customFormat="1" ht="11.55" customHeight="1">
      <c r="A150" s="989"/>
      <c s="1638"/>
      <c s="1638"/>
      <c s="353"/>
      <c r="K150" s="1162"/>
      <c s="1638"/>
      <c s="1638"/>
      <c s="1162"/>
      <c s="1162"/>
      <c s="1162"/>
      <c s="1162"/>
      <c s="1638"/>
      <c s="1162"/>
      <c s="1162"/>
      <c s="546"/>
      <c s="1162"/>
      <c s="1162"/>
      <c s="1162"/>
      <c s="1162"/>
      <c s="1162"/>
      <c s="1634"/>
      <c s="568"/>
      <c s="568"/>
      <c s="568"/>
      <c s="568"/>
      <c s="1643">
        <v>11</v>
      </c>
    </row>
    <row r="151" spans="1:32" s="1643" customFormat="1" ht="11.55" customHeight="1">
      <c r="A151" s="989"/>
      <c s="1638"/>
      <c s="1638"/>
      <c s="353"/>
      <c r="K151" s="1162"/>
      <c s="1638"/>
      <c s="1638"/>
      <c s="1162"/>
      <c s="1162"/>
      <c s="1162"/>
      <c s="1162"/>
      <c s="1638"/>
      <c s="1162"/>
      <c s="1162"/>
      <c s="546"/>
      <c s="1162"/>
      <c s="1162"/>
      <c s="1162"/>
      <c s="1162"/>
      <c s="1162"/>
      <c s="1634"/>
      <c s="568"/>
      <c s="568"/>
      <c s="568"/>
      <c s="568"/>
      <c s="1643">
        <v>11</v>
      </c>
    </row>
    <row r="152" spans="1:32" s="1643" customFormat="1" ht="11.55" customHeight="1">
      <c r="A152" s="989"/>
      <c s="1638"/>
      <c s="1638"/>
      <c s="353"/>
      <c r="K152" s="1162"/>
      <c s="1638"/>
      <c s="1638"/>
      <c s="1162"/>
      <c s="1162"/>
      <c s="1162"/>
      <c s="1162"/>
      <c s="1638"/>
      <c s="1162"/>
      <c s="1162"/>
      <c s="546"/>
      <c s="1162"/>
      <c s="1162"/>
      <c s="1162"/>
      <c s="1162"/>
      <c s="1162"/>
      <c s="1634"/>
      <c s="568"/>
      <c s="568"/>
      <c s="568"/>
      <c s="568"/>
      <c s="1643">
        <v>11</v>
      </c>
    </row>
    <row r="153" spans="1:32" s="1643" customFormat="1" ht="11.55" customHeight="1">
      <c r="A153" s="989"/>
      <c s="1638"/>
      <c s="1638"/>
      <c s="353"/>
      <c r="K153" s="1162"/>
      <c s="1638"/>
      <c s="1638"/>
      <c s="1162"/>
      <c s="1162"/>
      <c s="1162"/>
      <c s="1162"/>
      <c s="1638"/>
      <c s="1162"/>
      <c s="1162"/>
      <c s="546"/>
      <c s="1162"/>
      <c s="1162"/>
      <c s="1162"/>
      <c s="1162"/>
      <c s="1162"/>
      <c s="1634"/>
      <c s="568"/>
      <c s="568"/>
      <c s="568"/>
      <c s="568"/>
      <c s="1643">
        <v>11</v>
      </c>
    </row>
    <row r="154" spans="1:32" s="1643" customFormat="1" ht="11.55" customHeight="1">
      <c r="A154" s="989"/>
      <c s="1638"/>
      <c s="1638"/>
      <c s="353"/>
      <c r="K154" s="1162"/>
      <c s="1638"/>
      <c s="1638"/>
      <c s="1162"/>
      <c s="1162"/>
      <c s="1162"/>
      <c s="1162"/>
      <c s="1638"/>
      <c s="1162"/>
      <c s="1162"/>
      <c s="546"/>
      <c s="1162"/>
      <c s="1162"/>
      <c s="1162"/>
      <c s="1162"/>
      <c s="1162"/>
      <c s="1634"/>
      <c s="568"/>
      <c s="568"/>
      <c s="568"/>
      <c s="568"/>
      <c s="1643">
        <v>11</v>
      </c>
    </row>
    <row r="155" spans="1:32" s="1643" customFormat="1" ht="11.55" customHeight="1">
      <c r="A155" s="989"/>
      <c s="1638"/>
      <c s="1638"/>
      <c s="353"/>
      <c r="K155" s="1162"/>
      <c s="1638"/>
      <c s="1638"/>
      <c s="1162"/>
      <c s="1162"/>
      <c s="1162"/>
      <c s="1162"/>
      <c s="1638"/>
      <c s="1162"/>
      <c s="1162"/>
      <c s="546"/>
      <c s="1162"/>
      <c s="1162"/>
      <c s="1162"/>
      <c s="1162"/>
      <c s="1162"/>
      <c s="1634"/>
      <c s="568"/>
      <c s="568"/>
      <c s="568"/>
      <c s="568"/>
      <c s="1643">
        <v>11</v>
      </c>
    </row>
    <row r="156" spans="1:32" s="1643" customFormat="1" ht="11.55" customHeight="1">
      <c r="A156" s="989"/>
      <c s="1638"/>
      <c s="1638"/>
      <c s="353"/>
      <c r="K156" s="1162"/>
      <c s="1638"/>
      <c s="1638"/>
      <c s="1162"/>
      <c s="1162"/>
      <c s="1162"/>
      <c s="1162"/>
      <c s="1638"/>
      <c s="1162"/>
      <c s="1162"/>
      <c s="546"/>
      <c s="1162"/>
      <c s="1162"/>
      <c s="1162"/>
      <c s="1162"/>
      <c s="1162"/>
      <c s="1634"/>
      <c s="568"/>
      <c s="568"/>
      <c s="568"/>
      <c s="568"/>
      <c s="1643">
        <v>11</v>
      </c>
    </row>
    <row r="157" spans="1:32" s="1643" customFormat="1" ht="11.55" customHeight="1">
      <c r="A157" s="989"/>
      <c s="1638"/>
      <c s="1638"/>
      <c s="353"/>
      <c r="K157" s="1162"/>
      <c s="1638"/>
      <c s="1638"/>
      <c s="1162"/>
      <c s="1162"/>
      <c s="1162"/>
      <c s="1162"/>
      <c s="1638"/>
      <c s="1162"/>
      <c s="1162"/>
      <c s="546"/>
      <c s="1162"/>
      <c s="1162"/>
      <c s="1162"/>
      <c s="1162"/>
      <c s="1162"/>
      <c s="1634"/>
      <c s="568"/>
      <c s="568"/>
      <c s="568"/>
      <c s="568"/>
      <c s="1643">
        <v>11</v>
      </c>
    </row>
    <row r="158" spans="1:32" s="1643" customFormat="1" ht="11.55" customHeight="1">
      <c r="A158" s="989"/>
      <c s="1638"/>
      <c s="1638"/>
      <c s="353"/>
      <c r="K158" s="1162"/>
      <c s="1638"/>
      <c s="1638"/>
      <c s="1162"/>
      <c s="1162"/>
      <c s="1162"/>
      <c s="1162"/>
      <c s="1638"/>
      <c s="1162"/>
      <c s="1162"/>
      <c s="546"/>
      <c s="1162"/>
      <c s="1162"/>
      <c s="1162"/>
      <c s="1162"/>
      <c s="1162"/>
      <c s="1634"/>
      <c s="568"/>
      <c s="568"/>
      <c s="568"/>
      <c s="568"/>
      <c s="1643">
        <v>11</v>
      </c>
    </row>
    <row r="159" spans="1:32" s="1643" customFormat="1" ht="11.55" customHeight="1">
      <c r="A159" s="989"/>
      <c s="1638"/>
      <c s="1638"/>
      <c s="353"/>
      <c r="K159" s="1162"/>
      <c s="1638"/>
      <c s="1638"/>
      <c s="1162"/>
      <c s="1162"/>
      <c s="1162"/>
      <c s="1162"/>
      <c s="1638"/>
      <c s="1162"/>
      <c s="1162"/>
      <c s="546"/>
      <c s="1162"/>
      <c s="1162"/>
      <c s="1162"/>
      <c s="1162"/>
      <c s="1162"/>
      <c s="1634"/>
      <c s="568"/>
      <c s="568"/>
      <c s="568"/>
      <c s="568"/>
      <c s="1643">
        <v>11</v>
      </c>
    </row>
    <row r="160" spans="1:32" s="1643" customFormat="1" ht="11.55" customHeight="1">
      <c r="A160" s="989"/>
      <c s="1638"/>
      <c s="1638"/>
      <c s="353"/>
      <c r="K160" s="1162"/>
      <c s="1638"/>
      <c s="1638"/>
      <c s="1162"/>
      <c s="1162"/>
      <c s="1162"/>
      <c s="1162"/>
      <c s="1638"/>
      <c s="1162"/>
      <c s="1162"/>
      <c s="546"/>
      <c s="1162"/>
      <c s="1162"/>
      <c s="1162"/>
      <c s="1162"/>
      <c s="1162"/>
      <c s="1634"/>
      <c s="568"/>
      <c s="568"/>
      <c s="568"/>
      <c s="568"/>
      <c s="1643">
        <v>11</v>
      </c>
    </row>
    <row r="161" spans="1:32" s="1643" customFormat="1" ht="11.55" customHeight="1">
      <c r="A161" s="989"/>
      <c s="1638"/>
      <c s="1638"/>
      <c s="353"/>
      <c r="K161" s="1162"/>
      <c s="1638"/>
      <c s="1638"/>
      <c s="1162"/>
      <c s="1162"/>
      <c s="1162"/>
      <c s="1162"/>
      <c s="1638"/>
      <c s="1162"/>
      <c s="1162"/>
      <c s="546"/>
      <c s="1162"/>
      <c s="1162"/>
      <c s="1162"/>
      <c s="1162"/>
      <c s="1162"/>
      <c s="1634"/>
      <c s="568"/>
      <c s="568"/>
      <c s="568"/>
      <c s="568"/>
      <c s="1643">
        <v>11</v>
      </c>
    </row>
    <row r="162" spans="1:32" s="1643" customFormat="1" ht="11.55" customHeight="1">
      <c r="A162" s="989"/>
      <c s="1638"/>
      <c s="1638"/>
      <c s="353"/>
      <c r="K162" s="1162"/>
      <c s="1638"/>
      <c s="1638"/>
      <c s="1162"/>
      <c s="1162"/>
      <c s="1162"/>
      <c s="1162"/>
      <c s="1638"/>
      <c s="1162"/>
      <c s="1162"/>
      <c s="546"/>
      <c s="1162"/>
      <c s="1162"/>
      <c s="1162"/>
      <c s="1162"/>
      <c s="1162"/>
      <c s="1634"/>
      <c s="568"/>
      <c s="568"/>
      <c s="568"/>
      <c s="568"/>
      <c s="1643">
        <v>11</v>
      </c>
    </row>
    <row r="163" spans="1:32" s="1643" customFormat="1" ht="11.55" customHeight="1">
      <c r="A163" s="989"/>
      <c s="1638"/>
      <c s="1638"/>
      <c s="353"/>
      <c r="K163" s="1162"/>
      <c s="1638"/>
      <c s="1638"/>
      <c s="1162"/>
      <c s="1162"/>
      <c s="1162"/>
      <c s="1162"/>
      <c s="1638"/>
      <c s="1162"/>
      <c s="1162"/>
      <c s="546"/>
      <c s="1162"/>
      <c s="1162"/>
      <c s="1162"/>
      <c s="1162"/>
      <c s="1162"/>
      <c s="1634"/>
      <c s="568"/>
      <c s="568"/>
      <c s="568"/>
      <c s="568"/>
      <c s="1643">
        <v>11</v>
      </c>
    </row>
    <row r="164" spans="1:32" s="1643" customFormat="1" ht="11.55" customHeight="1">
      <c r="A164" s="989"/>
      <c s="1638"/>
      <c s="1638"/>
      <c s="353"/>
      <c r="K164" s="1162"/>
      <c s="1638"/>
      <c s="1638"/>
      <c s="1162"/>
      <c s="1162"/>
      <c s="1162"/>
      <c s="1162"/>
      <c s="1638"/>
      <c s="1162"/>
      <c s="1162"/>
      <c s="546"/>
      <c s="1162"/>
      <c s="1162"/>
      <c s="1162"/>
      <c s="1162"/>
      <c s="1162"/>
      <c s="1634"/>
      <c s="568"/>
      <c s="568"/>
      <c s="568"/>
      <c s="568"/>
      <c s="1643">
        <v>11</v>
      </c>
    </row>
    <row r="165" spans="1:32" s="1643" customFormat="1" ht="11.55" customHeight="1">
      <c r="A165" s="989"/>
      <c s="1638"/>
      <c s="1638"/>
      <c s="353"/>
      <c r="K165" s="1162"/>
      <c s="1638"/>
      <c s="1638"/>
      <c s="1162"/>
      <c s="1162"/>
      <c s="1162"/>
      <c s="1162"/>
      <c s="1638"/>
      <c s="1162"/>
      <c s="1162"/>
      <c s="546"/>
      <c s="1162"/>
      <c s="1162"/>
      <c s="1162"/>
      <c s="1162"/>
      <c s="1162"/>
      <c s="1634"/>
      <c s="568"/>
      <c s="568"/>
      <c s="568"/>
      <c s="568"/>
      <c s="1643">
        <v>11</v>
      </c>
    </row>
    <row r="166" spans="1:32" s="1643" customFormat="1" ht="11.55" customHeight="1">
      <c r="A166" s="989"/>
      <c s="1638"/>
      <c s="1638"/>
      <c s="353"/>
      <c r="K166" s="1162"/>
      <c s="1638"/>
      <c s="1638"/>
      <c s="1162"/>
      <c s="1162"/>
      <c s="1162"/>
      <c s="1162"/>
      <c s="1638"/>
      <c s="1162"/>
      <c s="1162"/>
      <c s="546"/>
      <c s="1162"/>
      <c s="1162"/>
      <c s="1162"/>
      <c s="1162"/>
      <c s="1162"/>
      <c s="1634"/>
      <c s="568"/>
      <c s="568"/>
      <c s="568"/>
      <c s="568"/>
      <c s="1643">
        <v>11</v>
      </c>
    </row>
    <row r="167" spans="1:32" s="1643" customFormat="1" ht="11.55" customHeight="1">
      <c r="A167" s="989"/>
      <c s="1638"/>
      <c s="1638"/>
      <c s="353"/>
      <c r="K167" s="1162"/>
      <c s="1638"/>
      <c s="1638"/>
      <c s="1162"/>
      <c s="1162"/>
      <c s="1162"/>
      <c s="1162"/>
      <c s="1638"/>
      <c s="1162"/>
      <c s="1162"/>
      <c s="546"/>
      <c s="1162"/>
      <c s="1162"/>
      <c s="1162"/>
      <c s="1162"/>
      <c s="1162"/>
      <c s="1634"/>
      <c s="568"/>
      <c s="568"/>
      <c s="568"/>
      <c s="568"/>
      <c s="1643">
        <v>11</v>
      </c>
    </row>
    <row r="168" spans="1:32" s="1643" customFormat="1" ht="11.55" customHeight="1">
      <c r="A168" s="989"/>
      <c s="1638"/>
      <c s="1638"/>
      <c s="353"/>
      <c r="K168" s="1162"/>
      <c s="1638"/>
      <c s="1638"/>
      <c s="1162"/>
      <c s="1162"/>
      <c s="1162"/>
      <c s="1162"/>
      <c s="1638"/>
      <c s="1162"/>
      <c s="1162"/>
      <c s="546"/>
      <c s="1162"/>
      <c s="1162"/>
      <c s="1162"/>
      <c s="1162"/>
      <c s="1162"/>
      <c s="1634"/>
      <c s="568"/>
      <c s="568"/>
      <c s="568"/>
      <c s="568"/>
      <c s="1643">
        <v>11</v>
      </c>
    </row>
    <row r="169" spans="1:32" s="1643" customFormat="1" ht="11.55" customHeight="1">
      <c r="A169" s="989"/>
      <c s="1638"/>
      <c s="1638"/>
      <c s="353"/>
      <c r="K169" s="1162"/>
      <c s="1638"/>
      <c s="1638"/>
      <c s="1162"/>
      <c s="1162"/>
      <c s="1162"/>
      <c s="1162"/>
      <c s="1638"/>
      <c s="1162"/>
      <c s="1162"/>
      <c s="546"/>
      <c s="1162"/>
      <c s="1162"/>
      <c s="1162"/>
      <c s="1162"/>
      <c s="1162"/>
      <c s="1634"/>
      <c s="568"/>
      <c s="568"/>
      <c s="568"/>
      <c s="568"/>
      <c s="1643">
        <v>11</v>
      </c>
    </row>
    <row r="170" spans="1:32" s="1643" customFormat="1" ht="11.55" customHeight="1">
      <c r="A170" s="989"/>
      <c s="1638"/>
      <c s="1638"/>
      <c s="353"/>
      <c r="K170" s="1162"/>
      <c s="1638"/>
      <c s="1638"/>
      <c s="1162"/>
      <c s="1162"/>
      <c s="1162"/>
      <c s="1162"/>
      <c s="1638"/>
      <c s="1162"/>
      <c s="1162"/>
      <c s="546"/>
      <c s="1162"/>
      <c s="1162"/>
      <c s="1162"/>
      <c s="1162"/>
      <c s="1162"/>
      <c s="1634"/>
      <c s="568"/>
      <c s="568"/>
      <c s="568"/>
      <c s="568"/>
      <c s="1643">
        <v>11</v>
      </c>
    </row>
    <row r="171" spans="1:32" s="1643" customFormat="1" ht="11.55" customHeight="1">
      <c r="A171" s="989"/>
      <c s="1638"/>
      <c s="1638"/>
      <c s="353"/>
      <c r="K171" s="1162"/>
      <c s="1638"/>
      <c s="1638"/>
      <c s="1162"/>
      <c s="1162"/>
      <c s="1162"/>
      <c s="1162"/>
      <c s="1638"/>
      <c s="1162"/>
      <c s="1162"/>
      <c s="546"/>
      <c s="1162"/>
      <c s="1162"/>
      <c s="1162"/>
      <c s="1162"/>
      <c s="1162"/>
      <c s="1634"/>
      <c s="568"/>
      <c s="568"/>
      <c s="568"/>
      <c s="568"/>
      <c s="1643">
        <v>11</v>
      </c>
    </row>
    <row r="172" spans="1:32" s="1643" customFormat="1" ht="11.55" customHeight="1">
      <c r="A172" s="989"/>
      <c s="1638"/>
      <c s="1638"/>
      <c s="353"/>
      <c r="K172" s="1162"/>
      <c s="1638"/>
      <c s="1638"/>
      <c s="1162"/>
      <c s="1162"/>
      <c s="1162"/>
      <c s="1162"/>
      <c s="1638"/>
      <c s="1162"/>
      <c s="1162"/>
      <c s="546"/>
      <c s="1162"/>
      <c s="1162"/>
      <c s="1162"/>
      <c s="1162"/>
      <c s="1162"/>
      <c s="1634"/>
      <c s="568"/>
      <c s="568"/>
      <c s="568"/>
      <c s="568"/>
      <c s="1643">
        <v>11</v>
      </c>
    </row>
    <row r="173" spans="1:32" s="1643" customFormat="1" ht="11.55" customHeight="1">
      <c r="A173" s="989"/>
      <c s="1638"/>
      <c s="1638"/>
      <c s="353"/>
      <c r="K173" s="1162"/>
      <c s="1638"/>
      <c s="1638"/>
      <c s="1162"/>
      <c s="1162"/>
      <c s="1162"/>
      <c s="1162"/>
      <c s="1638"/>
      <c s="1162"/>
      <c s="1162"/>
      <c s="546"/>
      <c s="1162"/>
      <c s="1162"/>
      <c s="1162"/>
      <c s="1162"/>
      <c s="1162"/>
      <c s="1634"/>
      <c s="568"/>
      <c s="568"/>
      <c s="568"/>
      <c s="568"/>
      <c s="1643">
        <v>11</v>
      </c>
    </row>
    <row r="174" spans="1:32" s="1643" customFormat="1" ht="11.55" customHeight="1">
      <c r="A174" s="989"/>
      <c s="1638"/>
      <c s="1638"/>
      <c s="353"/>
      <c r="K174" s="1162"/>
      <c s="1638"/>
      <c s="1638"/>
      <c s="1162"/>
      <c s="1162"/>
      <c s="1162"/>
      <c s="1162"/>
      <c s="1638"/>
      <c s="1162"/>
      <c s="1162"/>
      <c s="546"/>
      <c s="1162"/>
      <c s="1162"/>
      <c s="1162"/>
      <c s="1162"/>
      <c s="1162"/>
      <c s="1634"/>
      <c s="568"/>
      <c s="568"/>
      <c s="568"/>
      <c s="568"/>
      <c s="1643">
        <v>11</v>
      </c>
    </row>
    <row r="175" spans="1:32" s="1643" customFormat="1" ht="11.55" customHeight="1">
      <c r="A175" s="989"/>
      <c s="1638"/>
      <c s="1638"/>
      <c s="353"/>
      <c r="K175" s="1162"/>
      <c s="1638"/>
      <c s="1638"/>
      <c s="1162"/>
      <c s="1162"/>
      <c s="1162"/>
      <c s="1162"/>
      <c s="1638"/>
      <c s="1162"/>
      <c s="1162"/>
      <c s="546"/>
      <c s="1162"/>
      <c s="1162"/>
      <c s="1162"/>
      <c s="1162"/>
      <c s="1162"/>
      <c s="1634"/>
      <c s="568"/>
      <c s="568"/>
      <c s="568"/>
      <c s="568"/>
      <c s="1643">
        <v>11</v>
      </c>
    </row>
    <row r="176" spans="1:32" s="1643" customFormat="1" ht="11.55" customHeight="1">
      <c r="A176" s="989"/>
      <c s="1638"/>
      <c s="1638"/>
      <c s="353"/>
      <c r="K176" s="1162"/>
      <c s="1638"/>
      <c s="1638"/>
      <c s="1162"/>
      <c s="1162"/>
      <c s="1162"/>
      <c s="1162"/>
      <c s="1638"/>
      <c s="1162"/>
      <c s="1162"/>
      <c s="546"/>
      <c s="1162"/>
      <c s="1162"/>
      <c s="1162"/>
      <c s="1162"/>
      <c s="1162"/>
      <c s="1634"/>
      <c s="568"/>
      <c s="568"/>
      <c s="568"/>
      <c s="568"/>
      <c s="1643">
        <v>11</v>
      </c>
    </row>
    <row r="177" spans="1:32" s="1643" customFormat="1" ht="11.55" customHeight="1">
      <c r="A177" s="989"/>
      <c s="1638"/>
      <c s="1638"/>
      <c s="353"/>
      <c r="K177" s="1162"/>
      <c s="1638"/>
      <c s="1638"/>
      <c s="1162"/>
      <c s="1162"/>
      <c s="1162"/>
      <c s="1162"/>
      <c s="1638"/>
      <c s="1162"/>
      <c s="1162"/>
      <c s="546"/>
      <c s="1162"/>
      <c s="1162"/>
      <c s="1162"/>
      <c s="1162"/>
      <c s="1162"/>
      <c s="1634"/>
      <c s="568"/>
      <c s="568"/>
      <c s="568"/>
      <c s="568"/>
      <c s="1643">
        <v>11</v>
      </c>
    </row>
    <row r="178" spans="1:32" s="1643" customFormat="1" ht="11.55" customHeight="1">
      <c r="A178" s="989"/>
      <c s="1638"/>
      <c s="1638"/>
      <c s="353"/>
      <c r="K178" s="1162"/>
      <c s="1638"/>
      <c s="1638"/>
      <c s="1162"/>
      <c s="1162"/>
      <c s="1162"/>
      <c s="1162"/>
      <c s="1638"/>
      <c s="1162"/>
      <c s="1162"/>
      <c s="546"/>
      <c s="1162"/>
      <c s="1162"/>
      <c s="1162"/>
      <c s="1162"/>
      <c s="1162"/>
      <c s="1634"/>
      <c s="568"/>
      <c s="568"/>
      <c s="568"/>
      <c s="568"/>
      <c s="1643">
        <v>11</v>
      </c>
    </row>
    <row r="179" spans="1:32" s="1643" customFormat="1" ht="11.55" customHeight="1">
      <c r="A179" s="989"/>
      <c s="1638"/>
      <c s="1638"/>
      <c s="353"/>
      <c r="K179" s="1162"/>
      <c s="1638"/>
      <c s="1638"/>
      <c s="1162"/>
      <c s="1162"/>
      <c s="1162"/>
      <c s="1162"/>
      <c s="1638"/>
      <c s="1162"/>
      <c s="1162"/>
      <c s="546"/>
      <c s="1162"/>
      <c s="1162"/>
      <c s="1162"/>
      <c s="1162"/>
      <c s="1162"/>
      <c s="1634"/>
      <c s="568"/>
      <c s="568"/>
      <c s="568"/>
      <c s="568"/>
      <c s="1643">
        <v>11</v>
      </c>
    </row>
    <row r="180" spans="1:32" s="1643" customFormat="1" ht="11.55" customHeight="1">
      <c r="A180" s="989"/>
      <c s="1638"/>
      <c s="1638"/>
      <c s="353"/>
      <c r="K180" s="1162"/>
      <c s="1638"/>
      <c s="1638"/>
      <c s="1162"/>
      <c s="1162"/>
      <c s="1162"/>
      <c s="1162"/>
      <c s="1638"/>
      <c s="1162"/>
      <c s="1162"/>
      <c s="546"/>
      <c s="1162"/>
      <c s="1162"/>
      <c s="1162"/>
      <c s="1162"/>
      <c s="1162"/>
      <c s="1634"/>
      <c s="568"/>
      <c s="568"/>
      <c s="568"/>
      <c s="568"/>
      <c s="1643">
        <v>11</v>
      </c>
    </row>
    <row r="181" spans="1:32" s="1643" customFormat="1" ht="11.55" customHeight="1">
      <c r="A181" s="989"/>
      <c s="1638"/>
      <c s="1638"/>
      <c s="353"/>
      <c r="K181" s="1162"/>
      <c s="1638"/>
      <c s="1638"/>
      <c s="1162"/>
      <c s="1162"/>
      <c s="1162"/>
      <c s="1162"/>
      <c s="1638"/>
      <c s="1162"/>
      <c s="1162"/>
      <c s="546"/>
      <c s="1162"/>
      <c s="1162"/>
      <c s="1162"/>
      <c s="1162"/>
      <c s="1162"/>
      <c s="1634"/>
      <c s="568"/>
      <c s="568"/>
      <c s="568"/>
      <c s="568"/>
      <c s="1643">
        <v>11</v>
      </c>
    </row>
    <row r="182" spans="1:32" s="1643" customFormat="1" ht="11.55" customHeight="1">
      <c r="A182" s="989"/>
      <c s="1638"/>
      <c s="1638"/>
      <c s="353"/>
      <c r="K182" s="1162"/>
      <c s="1638"/>
      <c s="1638"/>
      <c s="1162"/>
      <c s="1162"/>
      <c s="1162"/>
      <c s="1162"/>
      <c s="1638"/>
      <c s="1162"/>
      <c s="1162"/>
      <c s="546"/>
      <c s="1162"/>
      <c s="1162"/>
      <c s="1162"/>
      <c s="1162"/>
      <c s="1162"/>
      <c s="1634"/>
      <c s="568"/>
      <c s="568"/>
      <c s="568"/>
      <c s="568"/>
      <c s="1643">
        <v>11</v>
      </c>
    </row>
    <row r="183" spans="1:32" s="1643" customFormat="1" ht="11.55" customHeight="1">
      <c r="A183" s="989"/>
      <c s="1638"/>
      <c s="1638"/>
      <c s="353"/>
      <c r="K183" s="1162"/>
      <c s="1638"/>
      <c s="1638"/>
      <c s="1162"/>
      <c s="1162"/>
      <c s="1162"/>
      <c s="1162"/>
      <c s="1638"/>
      <c s="1162"/>
      <c s="1162"/>
      <c s="546"/>
      <c s="1162"/>
      <c s="1162"/>
      <c s="1162"/>
      <c s="1162"/>
      <c s="1162"/>
      <c s="1634"/>
      <c s="568"/>
      <c s="568"/>
      <c s="568"/>
      <c s="568"/>
      <c s="1643">
        <v>11</v>
      </c>
    </row>
    <row r="184" spans="1:32" s="1643" customFormat="1" ht="11.55" customHeight="1">
      <c r="A184" s="989"/>
      <c s="1638"/>
      <c s="1638"/>
      <c s="353"/>
      <c r="K184" s="1162"/>
      <c s="1638"/>
      <c s="1638"/>
      <c s="1162"/>
      <c s="1162"/>
      <c s="1162"/>
      <c s="1162"/>
      <c s="1638"/>
      <c s="1162"/>
      <c s="1162"/>
      <c s="546"/>
      <c s="1162"/>
      <c s="1162"/>
      <c s="1162"/>
      <c s="1162"/>
      <c s="1162"/>
      <c s="1634"/>
      <c s="568"/>
      <c s="568"/>
      <c s="568"/>
      <c s="568"/>
      <c s="1643">
        <v>11</v>
      </c>
    </row>
    <row r="185" spans="1:32" s="1643" customFormat="1" ht="11.55" customHeight="1">
      <c r="A185" s="989"/>
      <c s="1638"/>
      <c s="1638"/>
      <c s="353"/>
      <c r="K185" s="1162"/>
      <c s="1638"/>
      <c s="1638"/>
      <c s="1162"/>
      <c s="1162"/>
      <c s="1162"/>
      <c s="1162"/>
      <c s="1638"/>
      <c s="1162"/>
      <c s="1162"/>
      <c s="546"/>
      <c s="1162"/>
      <c s="1162"/>
      <c s="1162"/>
      <c s="1162"/>
      <c s="1162"/>
      <c s="1634"/>
      <c s="568"/>
      <c s="568"/>
      <c s="568"/>
      <c s="568"/>
      <c s="1643">
        <v>11</v>
      </c>
    </row>
    <row r="186" spans="1:32" s="1643" customFormat="1" ht="11.55" customHeight="1">
      <c r="A186" s="989"/>
      <c s="1638"/>
      <c s="1638"/>
      <c s="353"/>
      <c r="K186" s="1162"/>
      <c s="1638"/>
      <c s="1638"/>
      <c s="1162"/>
      <c s="1162"/>
      <c s="1162"/>
      <c s="1162"/>
      <c s="1638"/>
      <c s="1162"/>
      <c s="1162"/>
      <c s="546"/>
      <c s="1162"/>
      <c s="1162"/>
      <c s="1162"/>
      <c s="1162"/>
      <c s="1162"/>
      <c s="1634"/>
      <c s="568"/>
      <c s="568"/>
      <c s="568"/>
      <c s="568"/>
      <c s="1643">
        <v>11</v>
      </c>
    </row>
    <row r="187" spans="1:32" s="1643" customFormat="1" ht="11.55" customHeight="1">
      <c r="A187" s="989"/>
      <c s="1638"/>
      <c s="1638"/>
      <c s="353"/>
      <c r="K187" s="1162"/>
      <c s="1638"/>
      <c s="1638"/>
      <c s="1162"/>
      <c s="1162"/>
      <c s="1162"/>
      <c s="1162"/>
      <c s="1638"/>
      <c s="1162"/>
      <c s="1162"/>
      <c s="546"/>
      <c s="1162"/>
      <c s="1162"/>
      <c s="1162"/>
      <c s="1162"/>
      <c s="1162"/>
      <c s="1634"/>
      <c s="568"/>
      <c s="568"/>
      <c s="568"/>
      <c s="568"/>
      <c s="1643">
        <v>11</v>
      </c>
    </row>
    <row r="188" spans="1:32" s="1643" customFormat="1" ht="11.55" customHeight="1">
      <c r="A188" s="989"/>
      <c s="1638"/>
      <c s="1638"/>
      <c s="353"/>
      <c r="K188" s="1162"/>
      <c s="1638"/>
      <c s="1638"/>
      <c s="1162"/>
      <c s="1162"/>
      <c s="1162"/>
      <c s="1162"/>
      <c s="1638"/>
      <c s="1162"/>
      <c s="1162"/>
      <c s="546"/>
      <c s="1162"/>
      <c s="1162"/>
      <c s="1162"/>
      <c s="1162"/>
      <c s="1162"/>
      <c s="1634"/>
      <c s="568"/>
      <c s="568"/>
      <c s="568"/>
      <c s="568"/>
      <c s="1643">
        <v>11</v>
      </c>
    </row>
    <row r="189" spans="1:32" s="1643" customFormat="1" ht="11.55" customHeight="1">
      <c r="A189" s="989"/>
      <c s="1638"/>
      <c s="1638"/>
      <c s="353"/>
      <c r="K189" s="1162"/>
      <c s="1638"/>
      <c s="1638"/>
      <c s="1162"/>
      <c s="1162"/>
      <c s="1162"/>
      <c s="1162"/>
      <c s="1638"/>
      <c s="1162"/>
      <c s="1162"/>
      <c s="546"/>
      <c s="1162"/>
      <c s="1162"/>
      <c s="1162"/>
      <c s="1162"/>
      <c s="1162"/>
      <c s="1634"/>
      <c s="568"/>
      <c s="568"/>
      <c s="568"/>
      <c s="568"/>
      <c s="1643">
        <v>11</v>
      </c>
    </row>
    <row r="190" spans="1:32" s="1643" customFormat="1" ht="11.55" customHeight="1">
      <c r="A190" s="989"/>
      <c s="1638"/>
      <c s="1638"/>
      <c s="353"/>
      <c r="K190" s="1162"/>
      <c s="1638"/>
      <c s="1638"/>
      <c s="1162"/>
      <c s="1162"/>
      <c s="1162"/>
      <c s="1162"/>
      <c s="1638"/>
      <c s="1162"/>
      <c s="1162"/>
      <c s="546"/>
      <c s="1162"/>
      <c s="1162"/>
      <c s="1162"/>
      <c s="1162"/>
      <c s="1162"/>
      <c s="1634"/>
      <c s="568"/>
      <c s="568"/>
      <c s="568"/>
      <c s="568"/>
      <c s="1643">
        <v>11</v>
      </c>
    </row>
    <row r="191" spans="1:32" s="1643" customFormat="1" ht="11.55" customHeight="1">
      <c r="A191" s="989"/>
      <c s="1638"/>
      <c s="1638"/>
      <c s="353"/>
      <c r="K191" s="1162"/>
      <c s="1638"/>
      <c s="1638"/>
      <c s="1162"/>
      <c s="1162"/>
      <c s="1162"/>
      <c s="1162"/>
      <c s="1638"/>
      <c s="1162"/>
      <c s="1162"/>
      <c s="546"/>
      <c s="1162"/>
      <c s="1162"/>
      <c s="1162"/>
      <c s="1162"/>
      <c s="1162"/>
      <c s="1634"/>
      <c s="568"/>
      <c s="568"/>
      <c s="568"/>
      <c s="568"/>
      <c s="1643">
        <v>11</v>
      </c>
    </row>
    <row r="192" spans="1:32" s="1643" customFormat="1" ht="11.55" customHeight="1">
      <c r="A192" s="989"/>
      <c s="1638"/>
      <c s="1638"/>
      <c s="353"/>
      <c r="K192" s="1162"/>
      <c s="1638"/>
      <c s="1638"/>
      <c s="1162"/>
      <c s="1162"/>
      <c s="1162"/>
      <c s="1162"/>
      <c s="1638"/>
      <c s="1162"/>
      <c s="1162"/>
      <c s="546"/>
      <c s="1162"/>
      <c s="1162"/>
      <c s="1162"/>
      <c s="1162"/>
      <c s="1162"/>
      <c s="1634"/>
      <c s="568"/>
      <c s="568"/>
      <c s="568"/>
      <c s="568"/>
      <c s="1643">
        <v>11</v>
      </c>
    </row>
    <row r="193" spans="1:32" s="1643" customFormat="1" ht="11.55" customHeight="1">
      <c r="A193" s="989"/>
      <c s="1638"/>
      <c s="1638"/>
      <c s="353"/>
      <c r="K193" s="1162"/>
      <c s="1638"/>
      <c s="1638"/>
      <c s="1162"/>
      <c s="1162"/>
      <c s="1162"/>
      <c s="1162"/>
      <c s="1638"/>
      <c s="1162"/>
      <c s="1162"/>
      <c s="546"/>
      <c s="1162"/>
      <c s="1162"/>
      <c s="1162"/>
      <c s="1162"/>
      <c s="1162"/>
      <c s="1634"/>
      <c s="568"/>
      <c s="568"/>
      <c s="568"/>
      <c s="568"/>
      <c s="1643">
        <v>11</v>
      </c>
    </row>
    <row r="194" spans="1:32" s="1643" customFormat="1" ht="11.55" customHeight="1">
      <c r="A194" s="989"/>
      <c s="1638"/>
      <c s="1638"/>
      <c s="353"/>
      <c r="K194" s="1162"/>
      <c s="1638"/>
      <c s="1638"/>
      <c s="1162"/>
      <c s="1162"/>
      <c s="1162"/>
      <c s="1162"/>
      <c s="1638"/>
      <c s="1162"/>
      <c s="1162"/>
      <c s="546"/>
      <c s="1162"/>
      <c s="1162"/>
      <c s="1162"/>
      <c s="1162"/>
      <c s="1162"/>
      <c s="1634"/>
      <c s="568"/>
      <c s="568"/>
      <c s="568"/>
      <c s="568"/>
      <c s="1643">
        <v>11</v>
      </c>
    </row>
    <row r="195" spans="1:32" s="1643" customFormat="1" ht="11.55" customHeight="1">
      <c r="A195" s="989"/>
      <c s="1638"/>
      <c s="1638"/>
      <c s="353"/>
      <c r="K195" s="1162"/>
      <c s="1638"/>
      <c s="1638"/>
      <c s="1162"/>
      <c s="1162"/>
      <c s="1162"/>
      <c s="1162"/>
      <c s="1638"/>
      <c s="1162"/>
      <c s="1162"/>
      <c s="546"/>
      <c s="1162"/>
      <c s="1162"/>
      <c s="1162"/>
      <c s="1162"/>
      <c s="1162"/>
      <c s="1634"/>
      <c s="568"/>
      <c s="568"/>
      <c s="568"/>
      <c s="568"/>
      <c s="1643">
        <v>11</v>
      </c>
    </row>
    <row r="196" spans="32:32" ht="11.55" customHeight="1">
      <c r="AF196" s="1633">
        <v>11</v>
      </c>
    </row>
    <row r="197" spans="32:32" ht="11.55" customHeight="1">
      <c r="AF197" s="1633">
        <v>11</v>
      </c>
    </row>
    <row r="198" spans="32:32" ht="11.55" customHeight="1">
      <c r="AF198" s="1633">
        <v>11</v>
      </c>
    </row>
    <row r="199" spans="1:32" ht="11.55" customHeight="1">
      <c r="A199" s="992"/>
      <c s="1633"/>
      <c r="D199" s="1633"/>
      <c r="K199" s="1633"/>
      <c r="N199" s="1633"/>
      <c s="1633"/>
      <c s="1633"/>
      <c s="1633"/>
      <c r="S199" s="1633"/>
      <c s="1633"/>
      <c s="1633"/>
      <c s="1633"/>
      <c s="1633"/>
      <c s="1633"/>
      <c s="1633"/>
      <c s="1633"/>
      <c s="1633"/>
      <c s="1633"/>
      <c s="1633"/>
      <c s="1633"/>
      <c s="1633"/>
      <c s="1633">
        <v>11</v>
      </c>
    </row>
    <row r="200" spans="1:32" ht="11.55" customHeight="1">
      <c r="A200" s="992"/>
      <c s="1633"/>
      <c r="D200" s="1633"/>
      <c r="K200" s="1633"/>
      <c r="N200" s="1633"/>
      <c s="1633"/>
      <c s="1633"/>
      <c s="1633"/>
      <c r="S200" s="1633"/>
      <c s="1633"/>
      <c s="1633"/>
      <c s="1633"/>
      <c s="1633"/>
      <c s="1633"/>
      <c s="1633"/>
      <c s="1633"/>
      <c s="1633"/>
      <c s="1633"/>
      <c s="1633"/>
      <c s="1633"/>
      <c s="1633"/>
      <c s="1633">
        <v>11</v>
      </c>
    </row>
    <row r="201" spans="1:32" ht="11.55" customHeight="1">
      <c r="A201" s="992"/>
      <c s="1633"/>
      <c r="D201" s="1633"/>
      <c r="K201" s="1633"/>
      <c r="N201" s="1633"/>
      <c s="1633"/>
      <c s="1633"/>
      <c s="1633"/>
      <c r="S201" s="1633"/>
      <c s="1633"/>
      <c s="1633"/>
      <c s="1633"/>
      <c s="1633"/>
      <c s="1633"/>
      <c s="1633"/>
      <c s="1633"/>
      <c s="1633"/>
      <c s="1633"/>
      <c s="1633"/>
      <c s="1633"/>
      <c s="1633"/>
      <c s="1633">
        <v>11</v>
      </c>
    </row>
    <row r="202" spans="1:32" ht="11.55" customHeight="1">
      <c r="A202" s="992"/>
      <c s="1633"/>
      <c r="D202" s="1633"/>
      <c r="K202" s="1633"/>
      <c r="N202" s="1633"/>
      <c s="1633"/>
      <c s="1633"/>
      <c s="1633"/>
      <c r="S202" s="1633"/>
      <c s="1633"/>
      <c s="1633"/>
      <c s="1633"/>
      <c s="1633"/>
      <c s="1633"/>
      <c s="1633"/>
      <c s="1633"/>
      <c s="1633"/>
      <c s="1633"/>
      <c s="1633"/>
      <c s="1633"/>
      <c s="1633"/>
      <c s="1633">
        <v>11</v>
      </c>
    </row>
    <row r="203" spans="1:32" ht="11.55" customHeight="1">
      <c r="A203" s="992"/>
      <c s="1633"/>
      <c r="D203" s="1633"/>
      <c r="K203" s="1633"/>
      <c r="N203" s="1633"/>
      <c s="1633"/>
      <c s="1633"/>
      <c s="1633"/>
      <c r="S203" s="1633"/>
      <c s="1633"/>
      <c s="1633"/>
      <c s="1633"/>
      <c s="1633"/>
      <c s="1633"/>
      <c s="1633"/>
      <c s="1633"/>
      <c s="1633"/>
      <c s="1633"/>
      <c s="1633"/>
      <c s="1633"/>
      <c s="1633"/>
      <c s="1633">
        <v>11</v>
      </c>
    </row>
    <row r="204" spans="1:32" ht="11.55" customHeight="1">
      <c r="A204" s="992"/>
      <c s="1633"/>
      <c r="D204" s="1633"/>
      <c r="K204" s="1633"/>
      <c r="N204" s="1633"/>
      <c s="1633"/>
      <c s="1633"/>
      <c s="1633"/>
      <c r="S204" s="1633"/>
      <c s="1633"/>
      <c s="1633"/>
      <c s="1633"/>
      <c s="1633"/>
      <c s="1633"/>
      <c s="1633"/>
      <c s="1633"/>
      <c s="1633"/>
      <c s="1633"/>
      <c s="1633"/>
      <c s="1633"/>
      <c s="1633"/>
      <c s="1633">
        <v>11</v>
      </c>
    </row>
    <row r="205" spans="1:32" ht="11.55" customHeight="1">
      <c r="A205" s="992"/>
      <c s="1633"/>
      <c r="D205" s="1633"/>
      <c r="K205" s="1633"/>
      <c r="N205" s="1633"/>
      <c s="1633"/>
      <c s="1633"/>
      <c s="1633"/>
      <c r="S205" s="1633"/>
      <c s="1633"/>
      <c s="1633"/>
      <c s="1633"/>
      <c s="1633"/>
      <c s="1633"/>
      <c s="1633"/>
      <c s="1633"/>
      <c s="1633"/>
      <c s="1633"/>
      <c s="1633"/>
      <c s="1633"/>
      <c s="1633"/>
      <c s="1633">
        <v>11</v>
      </c>
    </row>
    <row r="206" spans="1:32" ht="11.55" customHeight="1">
      <c r="A206" s="992"/>
      <c s="1633"/>
      <c r="D206" s="1633"/>
      <c r="K206" s="1633"/>
      <c r="N206" s="1633"/>
      <c s="1633"/>
      <c s="1633"/>
      <c s="1633"/>
      <c r="S206" s="1633"/>
      <c s="1633"/>
      <c s="1633"/>
      <c s="1633"/>
      <c s="1633"/>
      <c s="1633"/>
      <c s="1633"/>
      <c s="1633"/>
      <c s="1633"/>
      <c s="1633"/>
      <c s="1633"/>
      <c s="1633"/>
      <c s="1633"/>
      <c s="1633">
        <v>11</v>
      </c>
    </row>
    <row r="207" spans="1:32" ht="11.55" customHeight="1">
      <c r="A207" s="992"/>
      <c s="1633"/>
      <c r="D207" s="1633"/>
      <c r="K207" s="1633"/>
      <c r="N207" s="1633"/>
      <c s="1633"/>
      <c s="1633"/>
      <c s="1633"/>
      <c r="S207" s="1633"/>
      <c s="1633"/>
      <c s="1633"/>
      <c s="1633"/>
      <c s="1633"/>
      <c s="1633"/>
      <c s="1633"/>
      <c s="1633"/>
      <c s="1633"/>
      <c s="1633"/>
      <c s="1633"/>
      <c s="1633"/>
      <c s="1633"/>
      <c s="1633">
        <v>11</v>
      </c>
    </row>
    <row r="208" spans="1:32" ht="11.55" customHeight="1">
      <c r="A208" s="992"/>
      <c s="1633"/>
      <c r="D208" s="1633"/>
      <c r="K208" s="1633"/>
      <c r="N208" s="1633"/>
      <c s="1633"/>
      <c s="1633"/>
      <c s="1633"/>
      <c r="S208" s="1633"/>
      <c s="1633"/>
      <c s="1633"/>
      <c s="1633"/>
      <c s="1633"/>
      <c s="1633"/>
      <c s="1633"/>
      <c s="1633"/>
      <c s="1633"/>
      <c s="1633"/>
      <c s="1633"/>
      <c s="1633"/>
      <c s="1633"/>
      <c s="1633">
        <v>11</v>
      </c>
    </row>
    <row r="209" spans="1:32" ht="11.55" customHeight="1">
      <c r="A209" s="992"/>
      <c s="1633"/>
      <c r="D209" s="1633"/>
      <c r="K209" s="1633"/>
      <c r="N209" s="1633"/>
      <c s="1633"/>
      <c s="1633"/>
      <c s="1633"/>
      <c r="S209" s="1633"/>
      <c s="1633"/>
      <c s="1633"/>
      <c s="1633"/>
      <c s="1633"/>
      <c s="1633"/>
      <c s="1633"/>
      <c s="1633"/>
      <c s="1633"/>
      <c s="1633"/>
      <c s="1633"/>
      <c s="1633"/>
      <c s="1633"/>
      <c s="1633">
        <v>11</v>
      </c>
    </row>
    <row r="210" spans="1:32" ht="11.25" customHeight="1" hidden="1">
      <c r="A210" s="989" t="s">
        <v>81</v>
      </c>
      <c s="1162">
        <v>0</v>
      </c>
      <c s="1638">
        <v>0</v>
      </c>
      <c s="1637">
        <v>3</v>
      </c>
      <c s="1633">
        <v>7</v>
      </c>
      <c s="1633">
        <v>54</v>
      </c>
      <c s="1633">
        <v>10</v>
      </c>
      <c s="1633">
        <v>0</v>
      </c>
      <c s="1633">
        <v>40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A3E45EB-CF35-C2DF-8731-0.0EC549E3}" mc:Ignorable="x14ac xr xr2 xr3">
  <sheetPr>
    <tabColor theme="9" tint="-0.249980002641678"/>
  </sheetPr>
  <dimension ref="A1:X102"/>
  <sheetViews>
    <sheetView showGridLines="0" zoomScale="90" zoomScaleNormal="90" workbookViewId="0" topLeftCell="A1">
      <selection pane="topLeft" activeCell="A1" sqref="A1"/>
    </sheetView>
  </sheetViews>
  <sheetFormatPr defaultColWidth="10.5742857142857" defaultRowHeight="11.25" customHeight="1"/>
  <cols>
    <col min="1" max="1" width="9.14285714285714" style="1168" hidden="1" customWidth="1"/>
    <col min="2" max="2" width="3.57142857142857" style="1644" hidden="1" customWidth="1"/>
    <col min="3" max="3" width="3" style="1637" customWidth="1"/>
    <col min="4" max="4" width="7" style="1637" customWidth="1"/>
    <col min="5" max="5" width="69" style="1637" customWidth="1"/>
    <col min="6" max="6" width="10" style="1637" customWidth="1"/>
    <col min="7" max="8" width="44" style="1637" hidden="1" customWidth="1"/>
    <col min="9" max="9" width="44" style="1637" customWidth="1"/>
    <col min="10" max="10" width="43" style="1637" customWidth="1"/>
    <col min="11" max="11" width="73" style="1637" customWidth="1"/>
    <col min="12" max="12" width="3" style="1637" customWidth="1"/>
    <col min="13" max="23" width="10" style="1637" customWidth="1"/>
    <col min="24" max="24" width="10.5714285714286" style="1637" hidden="1"/>
  </cols>
  <sheetData>
    <row r="1" spans="1:24" s="1368" customFormat="1" ht="22.5" customHeight="1" hidden="1">
      <c r="A1" s="538"/>
      <c s="513"/>
      <c r="G1" s="419">
        <v>4</v>
      </c>
      <c r="I1" s="419">
        <v>4</v>
      </c>
      <c r="K1" s="419">
        <v>5</v>
      </c>
      <c r="X1" s="419" t="s">
        <v>14</v>
      </c>
    </row>
    <row r="2" spans="24:24" ht="3" customHeight="1">
      <c r="X2" s="507">
        <v>3</v>
      </c>
    </row>
    <row r="3" spans="4:24" ht="78.75" customHeight="1">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1"/>
      <c s="2242"/>
      <c r="X3" s="507">
        <v>75</v>
      </c>
    </row>
    <row r="4" spans="1:24" s="1637" customFormat="1" ht="21" customHeight="1">
      <c r="A4" s="953"/>
      <c s="513"/>
      <c r="D4" s="2216" t="str">
        <f>IF(org=0,"Не определено",org)</f>
        <v>ГУП КК "Кубаньводкомплекс"</v>
      </c>
      <c s="2217"/>
      <c s="2218"/>
      <c r="X4" s="760">
        <v>20</v>
      </c>
    </row>
    <row r="5" spans="3:24" ht="11.55" customHeight="1">
      <c r="C5" s="511"/>
      <c s="590"/>
      <c s="590"/>
      <c s="590"/>
      <c s="590"/>
      <c s="754"/>
      <c s="590"/>
      <c s="754"/>
      <c s="590"/>
      <c r="X5" s="507">
        <v>11</v>
      </c>
    </row>
    <row r="6" spans="3:24" ht="1.05" customHeight="1">
      <c r="C6" s="511"/>
      <c s="511"/>
      <c s="524"/>
      <c s="616"/>
      <c s="1024"/>
      <c s="1024"/>
      <c s="1024" t="s">
        <v>118</v>
      </c>
      <c s="1024"/>
      <c r="X6" s="507">
        <v>1</v>
      </c>
    </row>
    <row r="7" spans="4:24" ht="11.55" customHeight="1">
      <c r="D7" s="713"/>
      <c s="2369" t="s">
        <v>105</v>
      </c>
      <c s="2370"/>
      <c s="2395" t="str">
        <f>IF(G6="","",INDEX(DIFFERENTIATION_UNMERGE_VD,MATCH(G6,DIFFERENTIATION_ID_DIFF,0)))</f>
        <v/>
      </c>
      <c s="2396"/>
      <c s="2395" t="str">
        <f>IF(I6="","",INDEX(DIFFERENTIATION_UNMERGE_VD,MATCH(I6,DIFFERENTIATION_ID_DIFF,0)))</f>
        <v>Водоотведение; Транспортировка; Подключение (технологическое присоединение) к централизованной системе водоотведения</v>
      </c>
      <c s="2396"/>
      <c s="2177"/>
      <c s="511"/>
      <c r="X7" s="507">
        <v>11</v>
      </c>
    </row>
    <row r="8" spans="1:24" ht="11.55" customHeight="1">
      <c r="A8" s="706"/>
      <c r="D8" s="713"/>
      <c s="2369" t="s">
        <v>564</v>
      </c>
      <c s="2370"/>
      <c s="2395" t="str">
        <f>IF(G6="","",INDEX(DIFFERENTIATION_UNMERGE_AREA,MATCH(G6,DIFFERENTIATION_ID_DIFF,0)))</f>
        <v/>
      </c>
      <c s="2396"/>
      <c s="2395" t="str">
        <f>IF(I6="","",INDEX(DIFFERENTIATION_UNMERGE_AREA,MATCH(I6,DIFFERENTIATION_ID_DIFF,0)))</f>
        <v>Территория 1</v>
      </c>
      <c s="2396"/>
      <c s="2201"/>
      <c s="511"/>
      <c r="X8" s="507">
        <v>11</v>
      </c>
    </row>
    <row r="9" spans="1:24" ht="11.55" customHeight="1">
      <c r="A9" s="706"/>
      <c r="D9" s="713"/>
      <c s="2369" t="s">
        <v>565</v>
      </c>
      <c s="2370"/>
      <c s="2395" t="str">
        <f>IF(G6="","",INDEX(DIFFERENTIATION_UNMERGE_SYSTEM,MATCH(G6,DIFFERENTIATION_ID_DIFF,0)))</f>
        <v/>
      </c>
      <c s="2396"/>
      <c s="2395" t="str">
        <f>IF(I6="","",INDEX(DIFFERENTIATION_UNMERGE_SYSTEM,MATCH(I6,DIFFERENTIATION_ID_DIFF,0)))</f>
        <v>Ейский групповой водопровод (разводящие сети водоотведения)</v>
      </c>
      <c s="2396"/>
      <c s="2201"/>
      <c s="511"/>
      <c r="X9" s="507">
        <v>11</v>
      </c>
    </row>
    <row r="10" spans="1:24" s="1637" customFormat="1" ht="11.55" customHeight="1">
      <c r="A10" s="1023"/>
      <c s="513"/>
      <c r="D10" s="2103" t="s">
        <v>300</v>
      </c>
      <c s="2104"/>
      <c s="2104"/>
      <c s="2104"/>
      <c s="2104"/>
      <c s="2104"/>
      <c s="2105"/>
      <c s="2201"/>
      <c s="511"/>
      <c r="X10" s="760">
        <v>11</v>
      </c>
    </row>
    <row r="11" spans="1:24" s="1637" customFormat="1" ht="24" customHeight="1">
      <c r="A11" s="2387"/>
      <c s="2387"/>
      <c s="659"/>
      <c s="705" t="s">
        <v>87</v>
      </c>
      <c s="707" t="s">
        <v>807</v>
      </c>
      <c s="707" t="s">
        <v>566</v>
      </c>
      <c s="467" t="s">
        <v>303</v>
      </c>
      <c s="467" t="s">
        <v>390</v>
      </c>
      <c s="809" t="s">
        <v>303</v>
      </c>
      <c s="810" t="s">
        <v>390</v>
      </c>
      <c s="2234"/>
      <c s="660"/>
      <c r="X11" s="511">
        <v>23</v>
      </c>
    </row>
    <row r="12" spans="1:24" s="1644" customFormat="1" ht="10.5" customHeight="1">
      <c r="A12" s="954"/>
      <c r="D12" s="1027" t="s">
        <v>109</v>
      </c>
      <c s="1027" t="s">
        <v>110</v>
      </c>
      <c s="1027" t="s">
        <v>89</v>
      </c>
      <c s="1028" t="str">
        <f>G1&amp;".1"</f>
        <v>4.1</v>
      </c>
      <c s="1028" t="str">
        <f>G1&amp;".2"</f>
        <v>4.2</v>
      </c>
      <c s="1028" t="str">
        <f>I1&amp;".1"</f>
        <v>4.1</v>
      </c>
      <c s="1028" t="str">
        <f>I1&amp;".2"</f>
        <v>4.2</v>
      </c>
      <c s="1028"/>
      <c r="X12" s="513">
        <v>10</v>
      </c>
    </row>
    <row r="13" spans="1:24" ht="22.5" customHeight="1" hidden="1">
      <c r="A13" s="2394" t="s">
        <v>808</v>
      </c>
      <c r="D13" s="955" t="s">
        <v>109</v>
      </c>
      <c s="281" t="s">
        <v>809</v>
      </c>
      <c s="662" t="s">
        <v>810</v>
      </c>
      <c s="559"/>
      <c s="663"/>
      <c s="559"/>
      <c s="663"/>
      <c s="291" t="s">
        <v>811</v>
      </c>
      <c s="722"/>
      <c r="X13" s="507">
        <v>0</v>
      </c>
    </row>
    <row r="14" spans="1:24" ht="22.5" customHeight="1" hidden="1">
      <c r="A14" s="2394"/>
      <c r="D14" s="541" t="s">
        <v>110</v>
      </c>
      <c s="281" t="s">
        <v>812</v>
      </c>
      <c s="662" t="s">
        <v>813</v>
      </c>
      <c s="559"/>
      <c s="664"/>
      <c s="559"/>
      <c s="664"/>
      <c s="291" t="s">
        <v>814</v>
      </c>
      <c s="722"/>
      <c r="X14" s="507">
        <v>0</v>
      </c>
    </row>
    <row r="15" spans="1:24" s="1637" customFormat="1" ht="78.75" customHeight="1" hidden="1">
      <c r="A15" s="2394"/>
      <c s="513"/>
      <c r="D15" s="955" t="s">
        <v>89</v>
      </c>
      <c s="709" t="s">
        <v>815</v>
      </c>
      <c s="952" t="s">
        <v>306</v>
      </c>
      <c s="952" t="s">
        <v>306</v>
      </c>
      <c s="108"/>
      <c s="952" t="s">
        <v>306</v>
      </c>
      <c s="108"/>
      <c s="291" t="s">
        <v>816</v>
      </c>
      <c s="722"/>
      <c r="X15" s="760">
        <v>0</v>
      </c>
    </row>
    <row r="16" spans="1:24" s="1637" customFormat="1" ht="22.5" customHeight="1" hidden="1">
      <c r="A16" s="2394"/>
      <c s="513"/>
      <c r="D16" s="955" t="s">
        <v>324</v>
      </c>
      <c s="956" t="s">
        <v>817</v>
      </c>
      <c s="952" t="s">
        <v>818</v>
      </c>
      <c s="819"/>
      <c s="108"/>
      <c s="819"/>
      <c s="108"/>
      <c s="291"/>
      <c s="722"/>
      <c r="X16" s="760">
        <v>0</v>
      </c>
    </row>
    <row r="17" spans="1:24" s="1637" customFormat="1" ht="22.5" customHeight="1" hidden="1">
      <c r="A17" s="2394"/>
      <c s="513"/>
      <c r="D17" s="955" t="s">
        <v>332</v>
      </c>
      <c s="956" t="s">
        <v>819</v>
      </c>
      <c s="952" t="s">
        <v>820</v>
      </c>
      <c s="819"/>
      <c s="108"/>
      <c s="819"/>
      <c s="108"/>
      <c s="291"/>
      <c s="722"/>
      <c r="X17" s="760">
        <v>0</v>
      </c>
    </row>
    <row r="18" spans="1:24" s="1637" customFormat="1" ht="33.75" customHeight="1" hidden="1">
      <c r="A18" s="2394"/>
      <c s="513"/>
      <c r="D18" s="955" t="s">
        <v>334</v>
      </c>
      <c s="956" t="s">
        <v>821</v>
      </c>
      <c s="952" t="s">
        <v>571</v>
      </c>
      <c s="682"/>
      <c s="108"/>
      <c s="682"/>
      <c s="108"/>
      <c s="291"/>
      <c s="722"/>
      <c r="X18" s="760">
        <v>0</v>
      </c>
    </row>
    <row r="19" spans="1:24" ht="101.25" customHeight="1" hidden="1">
      <c r="A19" s="2394"/>
      <c r="D19" s="955" t="s">
        <v>90</v>
      </c>
      <c s="281" t="s">
        <v>822</v>
      </c>
      <c s="662" t="s">
        <v>546</v>
      </c>
      <c s="665"/>
      <c s="664"/>
      <c s="957"/>
      <c s="664"/>
      <c s="291" t="s">
        <v>823</v>
      </c>
      <c s="722"/>
      <c r="X19" s="507">
        <v>0</v>
      </c>
    </row>
    <row r="20" spans="1:24" s="1637" customFormat="1" ht="18.75" customHeight="1" hidden="1">
      <c r="A20" s="2394"/>
      <c r="C20" s="958"/>
      <c s="955" t="s">
        <v>754</v>
      </c>
      <c s="956" t="s">
        <v>824</v>
      </c>
      <c s="952" t="s">
        <v>306</v>
      </c>
      <c s="952" t="s">
        <v>306</v>
      </c>
      <c s="951" t="s">
        <v>306</v>
      </c>
      <c s="952" t="s">
        <v>306</v>
      </c>
      <c s="951" t="s">
        <v>306</v>
      </c>
      <c s="950"/>
      <c s="722"/>
      <c r="W20" s="677"/>
      <c s="760">
        <v>0</v>
      </c>
    </row>
    <row r="21" spans="1:24" s="1637" customFormat="1" ht="33.75" customHeight="1" hidden="1">
      <c r="A21" s="2394"/>
      <c r="C21" s="958"/>
      <c s="955" t="s">
        <v>757</v>
      </c>
      <c s="578" t="s">
        <v>825</v>
      </c>
      <c s="952" t="s">
        <v>826</v>
      </c>
      <c s="682"/>
      <c s="108"/>
      <c s="682"/>
      <c s="108"/>
      <c s="950"/>
      <c s="722"/>
      <c r="W21" s="677"/>
      <c s="760">
        <v>0</v>
      </c>
    </row>
    <row r="22" spans="1:24" s="1637" customFormat="1" ht="33.75" customHeight="1" hidden="1">
      <c r="A22" s="2394"/>
      <c r="C22" s="958"/>
      <c s="955" t="s">
        <v>760</v>
      </c>
      <c s="578" t="s">
        <v>827</v>
      </c>
      <c s="952" t="s">
        <v>828</v>
      </c>
      <c s="682"/>
      <c s="108"/>
      <c s="682"/>
      <c s="108"/>
      <c s="950"/>
      <c s="722"/>
      <c r="W22" s="677"/>
      <c s="760">
        <v>0</v>
      </c>
    </row>
    <row r="23" spans="1:24" s="1637" customFormat="1" ht="22.5" customHeight="1" hidden="1">
      <c r="A23" s="2394"/>
      <c r="C23" s="958"/>
      <c s="955" t="s">
        <v>796</v>
      </c>
      <c s="956" t="s">
        <v>829</v>
      </c>
      <c s="952" t="s">
        <v>306</v>
      </c>
      <c s="952" t="s">
        <v>306</v>
      </c>
      <c s="951" t="s">
        <v>306</v>
      </c>
      <c s="952" t="s">
        <v>306</v>
      </c>
      <c s="951" t="s">
        <v>306</v>
      </c>
      <c s="950"/>
      <c s="722"/>
      <c r="W23" s="677"/>
      <c s="760">
        <v>0</v>
      </c>
    </row>
    <row r="24" spans="1:24" s="1637" customFormat="1" ht="22.5" customHeight="1" hidden="1">
      <c r="A24" s="2394"/>
      <c r="C24" s="958"/>
      <c s="955" t="s">
        <v>830</v>
      </c>
      <c s="578" t="s">
        <v>831</v>
      </c>
      <c s="952" t="s">
        <v>832</v>
      </c>
      <c s="682"/>
      <c s="688"/>
      <c s="682"/>
      <c s="688"/>
      <c s="950"/>
      <c s="722"/>
      <c r="W24" s="677"/>
      <c s="760">
        <v>0</v>
      </c>
    </row>
    <row r="25" spans="1:24" s="1637" customFormat="1" ht="22.5" customHeight="1" hidden="1">
      <c r="A25" s="2394"/>
      <c r="C25" s="958"/>
      <c s="955" t="s">
        <v>833</v>
      </c>
      <c s="578" t="s">
        <v>834</v>
      </c>
      <c s="952" t="s">
        <v>306</v>
      </c>
      <c s="952" t="s">
        <v>306</v>
      </c>
      <c s="951" t="s">
        <v>306</v>
      </c>
      <c s="952" t="s">
        <v>306</v>
      </c>
      <c s="951" t="s">
        <v>306</v>
      </c>
      <c s="950"/>
      <c s="722"/>
      <c r="W25" s="677"/>
      <c s="760">
        <v>0</v>
      </c>
    </row>
    <row r="26" spans="1:24" s="1637" customFormat="1" ht="18.75" customHeight="1" hidden="1">
      <c r="A26" s="2394"/>
      <c r="C26" s="958"/>
      <c s="955" t="s">
        <v>835</v>
      </c>
      <c s="555" t="s">
        <v>836</v>
      </c>
      <c s="952" t="s">
        <v>837</v>
      </c>
      <c s="682"/>
      <c s="688"/>
      <c s="682"/>
      <c s="688"/>
      <c s="950"/>
      <c s="722"/>
      <c r="W26" s="677"/>
      <c s="760">
        <v>0</v>
      </c>
    </row>
    <row r="27" spans="1:24" s="1637" customFormat="1" ht="18.75" customHeight="1" hidden="1">
      <c r="A27" s="2394"/>
      <c r="C27" s="958"/>
      <c s="955" t="s">
        <v>838</v>
      </c>
      <c s="555" t="s">
        <v>839</v>
      </c>
      <c s="952" t="s">
        <v>840</v>
      </c>
      <c s="682"/>
      <c s="688"/>
      <c s="682"/>
      <c s="688"/>
      <c s="950"/>
      <c s="722"/>
      <c r="W27" s="677"/>
      <c s="760">
        <v>0</v>
      </c>
    </row>
    <row r="28" spans="1:24" s="1637" customFormat="1" ht="18.75" customHeight="1" hidden="1">
      <c r="A28" s="2394"/>
      <c r="C28" s="958"/>
      <c s="955" t="s">
        <v>841</v>
      </c>
      <c s="578" t="s">
        <v>842</v>
      </c>
      <c s="952" t="s">
        <v>306</v>
      </c>
      <c s="952" t="s">
        <v>306</v>
      </c>
      <c s="951" t="s">
        <v>306</v>
      </c>
      <c s="952" t="s">
        <v>306</v>
      </c>
      <c s="951" t="s">
        <v>306</v>
      </c>
      <c s="950"/>
      <c s="722"/>
      <c r="W28" s="677"/>
      <c s="760">
        <v>0</v>
      </c>
    </row>
    <row r="29" spans="1:24" s="1637" customFormat="1" ht="18.75" customHeight="1" hidden="1">
      <c r="A29" s="2394"/>
      <c r="C29" s="958"/>
      <c s="955" t="s">
        <v>843</v>
      </c>
      <c s="555" t="s">
        <v>836</v>
      </c>
      <c s="952" t="s">
        <v>844</v>
      </c>
      <c s="682"/>
      <c s="688"/>
      <c s="682"/>
      <c s="688"/>
      <c s="950"/>
      <c s="722"/>
      <c r="W29" s="677"/>
      <c s="760">
        <v>0</v>
      </c>
    </row>
    <row r="30" spans="1:24" s="1637" customFormat="1" ht="18.75" customHeight="1" hidden="1">
      <c r="A30" s="2394"/>
      <c r="C30" s="958"/>
      <c s="955" t="s">
        <v>845</v>
      </c>
      <c s="555" t="s">
        <v>846</v>
      </c>
      <c s="952" t="s">
        <v>847</v>
      </c>
      <c s="682"/>
      <c s="688"/>
      <c s="682"/>
      <c s="688"/>
      <c s="950"/>
      <c s="722"/>
      <c r="W30" s="677"/>
      <c s="760">
        <v>0</v>
      </c>
    </row>
    <row r="31" spans="1:24" ht="126.75" customHeight="1" hidden="1">
      <c r="A31" s="2394"/>
      <c r="D31" s="955" t="s">
        <v>111</v>
      </c>
      <c s="281" t="s">
        <v>848</v>
      </c>
      <c s="662" t="s">
        <v>558</v>
      </c>
      <c s="559"/>
      <c s="664"/>
      <c s="559"/>
      <c s="664"/>
      <c s="291" t="s">
        <v>849</v>
      </c>
      <c s="722"/>
      <c r="X31" s="507">
        <v>0</v>
      </c>
    </row>
    <row r="32" spans="1:24" ht="56.25" customHeight="1" hidden="1">
      <c r="A32" s="2394"/>
      <c r="D32" s="955" t="s">
        <v>91</v>
      </c>
      <c s="281" t="s">
        <v>850</v>
      </c>
      <c s="541" t="s">
        <v>820</v>
      </c>
      <c s="559"/>
      <c s="664"/>
      <c s="559"/>
      <c s="664"/>
      <c s="291" t="s">
        <v>851</v>
      </c>
      <c s="722"/>
      <c r="X32" s="507">
        <v>0</v>
      </c>
    </row>
    <row r="33" spans="1:24" ht="11.25" customHeight="1" hidden="1">
      <c r="A33" s="2394"/>
      <c r="E33" s="666"/>
      <c s="183"/>
      <c s="183"/>
      <c s="183"/>
      <c s="183"/>
      <c s="183"/>
      <c s="183"/>
      <c r="X33" s="507">
        <v>0</v>
      </c>
    </row>
    <row r="34" spans="1:24" ht="12.75" customHeight="1" hidden="1">
      <c r="A34" s="2394"/>
      <c r="D34" s="67">
        <v>1</v>
      </c>
      <c s="337" t="s">
        <v>852</v>
      </c>
      <c r="X34" s="507">
        <v>0</v>
      </c>
    </row>
    <row r="35" spans="1:24" ht="11.25" customHeight="1" hidden="1">
      <c r="A35" s="2394"/>
      <c r="D35" s="371"/>
      <c s="337" t="s">
        <v>853</v>
      </c>
      <c r="X35" s="507">
        <v>0</v>
      </c>
    </row>
    <row r="36" spans="1:24" s="1637" customFormat="1" ht="11.55" customHeight="1">
      <c r="A36" s="1035"/>
      <c s="520"/>
      <c r="D36" s="1036"/>
      <c s="1037"/>
      <c r="X36" s="511">
        <v>11</v>
      </c>
    </row>
    <row r="37" spans="1:24" s="1637" customFormat="1" ht="22.5" customHeight="1" hidden="1">
      <c r="A37" s="2394" t="s">
        <v>854</v>
      </c>
      <c s="513"/>
      <c r="D37" s="955">
        <v>1</v>
      </c>
      <c s="709" t="s">
        <v>855</v>
      </c>
      <c s="662" t="s">
        <v>810</v>
      </c>
      <c s="559"/>
      <c s="521"/>
      <c s="559"/>
      <c s="521"/>
      <c s="291" t="s">
        <v>856</v>
      </c>
      <c r="X37" s="760">
        <v>0</v>
      </c>
    </row>
    <row r="38" spans="1:24" s="1637" customFormat="1" ht="22.5" customHeight="1" hidden="1">
      <c r="A38" s="2394"/>
      <c s="513"/>
      <c r="D38" s="671" t="s">
        <v>110</v>
      </c>
      <c s="1034" t="s">
        <v>857</v>
      </c>
      <c s="1038" t="s">
        <v>546</v>
      </c>
      <c s="1038" t="s">
        <v>546</v>
      </c>
      <c s="1032"/>
      <c s="1038" t="s">
        <v>546</v>
      </c>
      <c s="1032"/>
      <c s="1033"/>
      <c r="X38" s="760">
        <v>0</v>
      </c>
    </row>
    <row r="39" spans="1:24" s="1637" customFormat="1" ht="33.75" customHeight="1" hidden="1">
      <c r="A39" s="2394"/>
      <c s="513"/>
      <c r="D39" s="667" t="s">
        <v>712</v>
      </c>
      <c s="725" t="s">
        <v>858</v>
      </c>
      <c s="662" t="s">
        <v>859</v>
      </c>
      <c s="670"/>
      <c s="1025"/>
      <c s="670"/>
      <c s="1025"/>
      <c s="291" t="s">
        <v>860</v>
      </c>
      <c r="X39" s="760">
        <v>0</v>
      </c>
    </row>
    <row r="40" spans="1:24" s="1637" customFormat="1" ht="33.75" customHeight="1" hidden="1">
      <c r="A40" s="2394"/>
      <c s="513"/>
      <c r="D40" s="667" t="s">
        <v>715</v>
      </c>
      <c s="725" t="s">
        <v>861</v>
      </c>
      <c s="1029" t="s">
        <v>862</v>
      </c>
      <c s="743"/>
      <c s="1025"/>
      <c s="743"/>
      <c s="1025"/>
      <c s="291" t="s">
        <v>863</v>
      </c>
      <c r="X40" s="760">
        <v>0</v>
      </c>
    </row>
    <row r="41" spans="1:24" s="1637" customFormat="1" ht="22.5" customHeight="1" hidden="1">
      <c r="A41" s="2394"/>
      <c s="513"/>
      <c r="D41" s="667" t="s">
        <v>89</v>
      </c>
      <c s="724" t="s">
        <v>864</v>
      </c>
      <c s="662" t="s">
        <v>546</v>
      </c>
      <c s="662" t="s">
        <v>546</v>
      </c>
      <c s="1026"/>
      <c s="662" t="s">
        <v>546</v>
      </c>
      <c s="1026"/>
      <c s="304"/>
      <c r="X41" s="760">
        <v>0</v>
      </c>
    </row>
    <row r="42" spans="1:24" s="1637" customFormat="1" ht="45" customHeight="1" hidden="1">
      <c r="A42" s="2394"/>
      <c s="513"/>
      <c r="D42" s="667" t="s">
        <v>324</v>
      </c>
      <c s="725" t="s">
        <v>865</v>
      </c>
      <c s="662" t="s">
        <v>558</v>
      </c>
      <c s="559"/>
      <c s="1026"/>
      <c s="559"/>
      <c s="1026"/>
      <c s="304" t="s">
        <v>866</v>
      </c>
      <c r="X42" s="760">
        <v>0</v>
      </c>
    </row>
    <row r="43" spans="1:24" s="1637" customFormat="1" ht="45" customHeight="1" hidden="1">
      <c r="A43" s="2394"/>
      <c s="513"/>
      <c r="D43" s="667" t="s">
        <v>332</v>
      </c>
      <c s="669" t="s">
        <v>867</v>
      </c>
      <c s="1030" t="s">
        <v>558</v>
      </c>
      <c s="744"/>
      <c s="1025"/>
      <c s="744"/>
      <c s="1025"/>
      <c s="304" t="s">
        <v>868</v>
      </c>
      <c r="X43" s="760">
        <v>0</v>
      </c>
    </row>
    <row r="44" spans="1:24" s="1637" customFormat="1" ht="11.25" customHeight="1" hidden="1">
      <c r="A44" s="2394"/>
      <c s="513"/>
      <c r="D44" s="667" t="s">
        <v>90</v>
      </c>
      <c s="668" t="s">
        <v>869</v>
      </c>
      <c s="662" t="s">
        <v>859</v>
      </c>
      <c s="670"/>
      <c s="1025"/>
      <c s="670"/>
      <c s="1025"/>
      <c s="291"/>
      <c r="X44" s="760">
        <v>0</v>
      </c>
    </row>
    <row r="45" spans="1:24" s="1637" customFormat="1" ht="11.25" customHeight="1" hidden="1">
      <c r="A45" s="2394"/>
      <c s="513"/>
      <c r="D45" s="667" t="s">
        <v>754</v>
      </c>
      <c s="669" t="s">
        <v>870</v>
      </c>
      <c s="662" t="s">
        <v>859</v>
      </c>
      <c s="670"/>
      <c s="1025"/>
      <c s="670"/>
      <c s="1025"/>
      <c s="291"/>
      <c r="X45" s="760">
        <v>0</v>
      </c>
    </row>
    <row r="46" spans="1:24" s="1637" customFormat="1" ht="11.25" customHeight="1" hidden="1">
      <c r="A46" s="2394"/>
      <c s="513"/>
      <c r="D46" s="667" t="s">
        <v>796</v>
      </c>
      <c s="669" t="s">
        <v>871</v>
      </c>
      <c s="662" t="s">
        <v>859</v>
      </c>
      <c s="670"/>
      <c s="1025"/>
      <c s="670"/>
      <c s="1025"/>
      <c s="291"/>
      <c r="X46" s="760">
        <v>0</v>
      </c>
    </row>
    <row r="47" spans="1:24" s="1637" customFormat="1" ht="11.25" customHeight="1" hidden="1">
      <c r="A47" s="2394"/>
      <c s="513"/>
      <c r="D47" s="667" t="s">
        <v>799</v>
      </c>
      <c s="669" t="s">
        <v>872</v>
      </c>
      <c s="662" t="s">
        <v>859</v>
      </c>
      <c s="670"/>
      <c s="1025"/>
      <c s="670"/>
      <c s="1025"/>
      <c s="291"/>
      <c r="X47" s="760">
        <v>0</v>
      </c>
    </row>
    <row r="48" spans="1:24" s="1637" customFormat="1" ht="11.25" customHeight="1" hidden="1">
      <c r="A48" s="2394"/>
      <c s="513"/>
      <c r="D48" s="667" t="s">
        <v>873</v>
      </c>
      <c s="673" t="s">
        <v>874</v>
      </c>
      <c s="662" t="s">
        <v>859</v>
      </c>
      <c s="670"/>
      <c s="1025"/>
      <c s="670"/>
      <c s="1025"/>
      <c s="291"/>
      <c r="X48" s="760">
        <v>0</v>
      </c>
    </row>
    <row r="49" spans="1:24" s="1637" customFormat="1" ht="11.25" customHeight="1" hidden="1">
      <c r="A49" s="2394"/>
      <c s="513"/>
      <c r="D49" s="667" t="s">
        <v>875</v>
      </c>
      <c s="673" t="s">
        <v>876</v>
      </c>
      <c s="662" t="s">
        <v>859</v>
      </c>
      <c s="670"/>
      <c s="1025"/>
      <c s="670"/>
      <c s="1025"/>
      <c s="291"/>
      <c r="X49" s="760">
        <v>0</v>
      </c>
    </row>
    <row r="50" spans="1:24" s="1637" customFormat="1" ht="11.25" customHeight="1" hidden="1">
      <c r="A50" s="2394"/>
      <c s="513"/>
      <c r="D50" s="667" t="s">
        <v>877</v>
      </c>
      <c s="669" t="s">
        <v>878</v>
      </c>
      <c s="662" t="s">
        <v>859</v>
      </c>
      <c s="670"/>
      <c s="1025"/>
      <c s="670"/>
      <c s="1025"/>
      <c s="291"/>
      <c r="X50" s="760">
        <v>0</v>
      </c>
    </row>
    <row r="51" spans="1:24" s="1637" customFormat="1" ht="11.25" customHeight="1" hidden="1">
      <c r="A51" s="2394"/>
      <c s="513"/>
      <c r="D51" s="667" t="s">
        <v>879</v>
      </c>
      <c s="669" t="s">
        <v>880</v>
      </c>
      <c s="662" t="s">
        <v>859</v>
      </c>
      <c s="670"/>
      <c s="1025"/>
      <c s="670"/>
      <c s="1025"/>
      <c s="291"/>
      <c r="X51" s="760">
        <v>0</v>
      </c>
    </row>
    <row r="52" spans="1:24" s="1637" customFormat="1" ht="45" customHeight="1" hidden="1">
      <c r="A52" s="2394"/>
      <c s="513"/>
      <c r="D52" s="667" t="s">
        <v>111</v>
      </c>
      <c s="668" t="s">
        <v>881</v>
      </c>
      <c s="662" t="s">
        <v>859</v>
      </c>
      <c s="670"/>
      <c s="1025"/>
      <c s="670"/>
      <c s="1025"/>
      <c s="291"/>
      <c r="X52" s="760">
        <v>0</v>
      </c>
    </row>
    <row r="53" spans="1:24" s="1637" customFormat="1" ht="11.25" customHeight="1" hidden="1">
      <c r="A53" s="2394"/>
      <c s="513"/>
      <c r="D53" s="667" t="s">
        <v>313</v>
      </c>
      <c s="669" t="s">
        <v>870</v>
      </c>
      <c s="662" t="s">
        <v>859</v>
      </c>
      <c s="670"/>
      <c s="1025"/>
      <c s="670"/>
      <c s="1025"/>
      <c s="291"/>
      <c r="X53" s="760">
        <v>0</v>
      </c>
    </row>
    <row r="54" spans="1:24" s="1637" customFormat="1" ht="11.25" customHeight="1" hidden="1">
      <c r="A54" s="2394"/>
      <c s="513"/>
      <c r="D54" s="667" t="s">
        <v>882</v>
      </c>
      <c s="669" t="s">
        <v>871</v>
      </c>
      <c s="662" t="s">
        <v>859</v>
      </c>
      <c s="670"/>
      <c s="1025"/>
      <c s="670"/>
      <c s="1025"/>
      <c s="291"/>
      <c r="X54" s="760">
        <v>0</v>
      </c>
    </row>
    <row r="55" spans="1:24" s="1637" customFormat="1" ht="11.25" customHeight="1" hidden="1">
      <c r="A55" s="2394"/>
      <c s="513"/>
      <c r="D55" s="667" t="s">
        <v>883</v>
      </c>
      <c s="669" t="s">
        <v>872</v>
      </c>
      <c s="662" t="s">
        <v>859</v>
      </c>
      <c s="670"/>
      <c s="1025"/>
      <c s="670"/>
      <c s="1025"/>
      <c s="291"/>
      <c r="X55" s="760">
        <v>0</v>
      </c>
    </row>
    <row r="56" spans="1:24" s="1637" customFormat="1" ht="11.25" customHeight="1" hidden="1">
      <c r="A56" s="2394"/>
      <c s="513"/>
      <c r="D56" s="667" t="s">
        <v>884</v>
      </c>
      <c s="673" t="s">
        <v>874</v>
      </c>
      <c s="662" t="s">
        <v>859</v>
      </c>
      <c s="670"/>
      <c s="1025"/>
      <c s="670"/>
      <c s="1025"/>
      <c s="291"/>
      <c r="X56" s="760">
        <v>0</v>
      </c>
    </row>
    <row r="57" spans="1:24" s="1637" customFormat="1" ht="11.25" customHeight="1" hidden="1">
      <c r="A57" s="2394"/>
      <c s="513"/>
      <c r="D57" s="667" t="s">
        <v>885</v>
      </c>
      <c s="673" t="s">
        <v>876</v>
      </c>
      <c s="662" t="s">
        <v>859</v>
      </c>
      <c s="670"/>
      <c s="1025"/>
      <c s="670"/>
      <c s="1025"/>
      <c s="291"/>
      <c r="X57" s="760">
        <v>0</v>
      </c>
    </row>
    <row r="58" spans="1:24" s="1637" customFormat="1" ht="11.25" customHeight="1" hidden="1">
      <c r="A58" s="2394"/>
      <c s="513"/>
      <c r="D58" s="667" t="s">
        <v>886</v>
      </c>
      <c s="669" t="s">
        <v>878</v>
      </c>
      <c s="662" t="s">
        <v>859</v>
      </c>
      <c s="670"/>
      <c s="1025"/>
      <c s="670"/>
      <c s="1025"/>
      <c s="291"/>
      <c r="X58" s="760">
        <v>0</v>
      </c>
    </row>
    <row r="59" spans="1:24" s="1637" customFormat="1" ht="11.25" customHeight="1" hidden="1">
      <c r="A59" s="2394"/>
      <c s="513"/>
      <c r="D59" s="667" t="s">
        <v>887</v>
      </c>
      <c s="669" t="s">
        <v>880</v>
      </c>
      <c s="662" t="s">
        <v>859</v>
      </c>
      <c s="670"/>
      <c s="1025"/>
      <c s="670"/>
      <c s="1025"/>
      <c s="291"/>
      <c r="X59" s="760">
        <v>0</v>
      </c>
    </row>
    <row r="60" spans="1:24" s="1637" customFormat="1" ht="33.75" customHeight="1" hidden="1">
      <c r="A60" s="2394"/>
      <c s="513"/>
      <c r="D60" s="667" t="s">
        <v>91</v>
      </c>
      <c s="668" t="s">
        <v>888</v>
      </c>
      <c s="723" t="s">
        <v>558</v>
      </c>
      <c s="744"/>
      <c s="1025"/>
      <c s="744"/>
      <c s="1025"/>
      <c s="304" t="s">
        <v>889</v>
      </c>
      <c r="X60" s="760">
        <v>0</v>
      </c>
    </row>
    <row r="61" spans="1:24" s="1637" customFormat="1" ht="33.75" customHeight="1" hidden="1">
      <c r="A61" s="2394"/>
      <c s="513"/>
      <c r="D61" s="667" t="s">
        <v>92</v>
      </c>
      <c s="668" t="s">
        <v>890</v>
      </c>
      <c s="728" t="s">
        <v>820</v>
      </c>
      <c s="670"/>
      <c s="1025"/>
      <c s="670"/>
      <c s="1025"/>
      <c s="291"/>
      <c r="X61" s="760">
        <v>0</v>
      </c>
    </row>
    <row r="62" spans="1:24" s="1637" customFormat="1" ht="22.5" customHeight="1" hidden="1">
      <c r="A62" s="2394"/>
      <c s="513" t="s">
        <v>588</v>
      </c>
      <c r="D62" s="667" t="s">
        <v>112</v>
      </c>
      <c s="668" t="s">
        <v>891</v>
      </c>
      <c s="728" t="s">
        <v>306</v>
      </c>
      <c s="384"/>
      <c s="1025"/>
      <c s="384"/>
      <c s="1025"/>
      <c s="291" t="s">
        <v>631</v>
      </c>
      <c r="X62" s="760">
        <v>0</v>
      </c>
    </row>
    <row r="63" spans="1:24" s="1637" customFormat="1" ht="45" customHeight="1" hidden="1">
      <c r="A63" s="2394"/>
      <c s="513" t="s">
        <v>588</v>
      </c>
      <c r="D63" s="667" t="s">
        <v>892</v>
      </c>
      <c s="669" t="s">
        <v>893</v>
      </c>
      <c s="723" t="s">
        <v>306</v>
      </c>
      <c s="384"/>
      <c s="1025"/>
      <c s="384"/>
      <c s="1025"/>
      <c s="291" t="s">
        <v>631</v>
      </c>
      <c r="X63" s="760">
        <v>0</v>
      </c>
    </row>
    <row r="64" spans="1:24" s="1637" customFormat="1" ht="11.55" customHeight="1">
      <c r="A64" s="1035"/>
      <c s="520"/>
      <c r="D64" s="1036"/>
      <c s="1037"/>
      <c r="X64" s="511">
        <v>11</v>
      </c>
    </row>
    <row r="65" spans="1:24" s="1637" customFormat="1" ht="22.5" customHeight="1" hidden="1">
      <c r="A65" s="2394" t="s">
        <v>894</v>
      </c>
      <c s="513"/>
      <c r="D65" s="667">
        <v>1</v>
      </c>
      <c s="746" t="s">
        <v>895</v>
      </c>
      <c s="742" t="s">
        <v>810</v>
      </c>
      <c s="743"/>
      <c s="1031"/>
      <c s="743"/>
      <c s="1031"/>
      <c s="303" t="s">
        <v>896</v>
      </c>
      <c r="X65" s="760">
        <v>0</v>
      </c>
    </row>
    <row r="66" spans="1:24" s="1637" customFormat="1" ht="56.25" customHeight="1" hidden="1">
      <c r="A66" s="2394"/>
      <c s="513"/>
      <c r="D66" s="745" t="s">
        <v>110</v>
      </c>
      <c s="709" t="s">
        <v>897</v>
      </c>
      <c s="662" t="s">
        <v>546</v>
      </c>
      <c s="662" t="s">
        <v>546</v>
      </c>
      <c s="521"/>
      <c s="662" t="s">
        <v>546</v>
      </c>
      <c s="521"/>
      <c s="291"/>
      <c r="X66" s="760">
        <v>0</v>
      </c>
    </row>
    <row r="67" spans="1:24" s="1637" customFormat="1" ht="33.75" customHeight="1" hidden="1">
      <c r="A67" s="2394"/>
      <c s="513"/>
      <c r="D67" s="745" t="s">
        <v>709</v>
      </c>
      <c s="956" t="s">
        <v>898</v>
      </c>
      <c s="662" t="s">
        <v>862</v>
      </c>
      <c s="729"/>
      <c s="521"/>
      <c s="729"/>
      <c s="521"/>
      <c s="291"/>
      <c r="X67" s="760">
        <v>0</v>
      </c>
    </row>
    <row r="68" spans="1:24" s="1637" customFormat="1" ht="22.5" customHeight="1" hidden="1">
      <c r="A68" s="2394"/>
      <c s="513"/>
      <c r="D68" s="745" t="s">
        <v>307</v>
      </c>
      <c s="956" t="s">
        <v>899</v>
      </c>
      <c s="662" t="s">
        <v>862</v>
      </c>
      <c s="729"/>
      <c s="521"/>
      <c s="729"/>
      <c s="521"/>
      <c s="291"/>
      <c r="X68" s="760">
        <v>0</v>
      </c>
    </row>
    <row r="69" spans="1:24" s="1637" customFormat="1" ht="22.5" customHeight="1" hidden="1">
      <c r="A69" s="2394"/>
      <c s="513"/>
      <c r="D69" s="745" t="s">
        <v>310</v>
      </c>
      <c s="956" t="s">
        <v>900</v>
      </c>
      <c s="723" t="s">
        <v>558</v>
      </c>
      <c s="744"/>
      <c s="521"/>
      <c s="744"/>
      <c s="521"/>
      <c s="291"/>
      <c r="X69" s="760">
        <v>0</v>
      </c>
    </row>
    <row r="70" spans="1:24" s="1637" customFormat="1" ht="22.5" customHeight="1" hidden="1">
      <c r="A70" s="2394"/>
      <c s="513"/>
      <c r="D70" s="745" t="s">
        <v>729</v>
      </c>
      <c s="956" t="s">
        <v>901</v>
      </c>
      <c s="723" t="s">
        <v>558</v>
      </c>
      <c s="744"/>
      <c s="521"/>
      <c s="744"/>
      <c s="521"/>
      <c s="291"/>
      <c r="X70" s="760">
        <v>0</v>
      </c>
    </row>
    <row r="71" spans="1:24" s="1637" customFormat="1" ht="22.5" customHeight="1" hidden="1">
      <c r="A71" s="2394"/>
      <c s="513"/>
      <c r="D71" s="667" t="s">
        <v>89</v>
      </c>
      <c s="668" t="s">
        <v>902</v>
      </c>
      <c s="662" t="s">
        <v>862</v>
      </c>
      <c s="559"/>
      <c s="1032"/>
      <c s="559"/>
      <c s="1032"/>
      <c s="304"/>
      <c r="X71" s="760">
        <v>0</v>
      </c>
    </row>
    <row r="72" spans="1:24" s="1637" customFormat="1" ht="56.25" customHeight="1" hidden="1">
      <c r="A72" s="2394"/>
      <c s="513"/>
      <c r="D72" s="667" t="s">
        <v>90</v>
      </c>
      <c s="668" t="s">
        <v>903</v>
      </c>
      <c s="723" t="s">
        <v>558</v>
      </c>
      <c s="744"/>
      <c s="1025"/>
      <c s="744"/>
      <c s="1025"/>
      <c s="304"/>
      <c r="X72" s="760">
        <v>0</v>
      </c>
    </row>
    <row r="73" spans="1:24" s="1637" customFormat="1" ht="33.75" customHeight="1" hidden="1">
      <c r="A73" s="2394"/>
      <c s="513"/>
      <c r="D73" s="667" t="s">
        <v>111</v>
      </c>
      <c s="668" t="s">
        <v>904</v>
      </c>
      <c s="728" t="s">
        <v>820</v>
      </c>
      <c s="670"/>
      <c s="1025"/>
      <c s="670"/>
      <c s="1025"/>
      <c s="291"/>
      <c r="X73" s="760">
        <v>0</v>
      </c>
    </row>
    <row r="74" spans="1:24" s="1637" customFormat="1" ht="22.5" customHeight="1" hidden="1">
      <c r="A74" s="2394"/>
      <c s="513" t="s">
        <v>588</v>
      </c>
      <c r="D74" s="667" t="s">
        <v>91</v>
      </c>
      <c s="668" t="s">
        <v>905</v>
      </c>
      <c s="728" t="s">
        <v>306</v>
      </c>
      <c s="384"/>
      <c s="1025"/>
      <c s="384"/>
      <c s="1025"/>
      <c s="291" t="s">
        <v>631</v>
      </c>
      <c r="X74" s="760">
        <v>0</v>
      </c>
    </row>
    <row r="75" spans="1:24" s="1637" customFormat="1" ht="45" customHeight="1" hidden="1">
      <c r="A75" s="2394"/>
      <c s="513" t="s">
        <v>588</v>
      </c>
      <c r="D75" s="667" t="s">
        <v>652</v>
      </c>
      <c s="669" t="s">
        <v>906</v>
      </c>
      <c s="723" t="s">
        <v>306</v>
      </c>
      <c s="384"/>
      <c s="1025"/>
      <c s="384"/>
      <c s="1025"/>
      <c s="291" t="s">
        <v>631</v>
      </c>
      <c r="X75" s="760">
        <v>0</v>
      </c>
    </row>
    <row r="76" spans="1:24" s="1637" customFormat="1" ht="11.55" customHeight="1">
      <c r="A76" s="1035"/>
      <c s="520"/>
      <c r="D76" s="1036"/>
      <c s="1037"/>
      <c r="X76" s="511">
        <v>11</v>
      </c>
    </row>
    <row r="77" spans="1:24" s="1637" customFormat="1" ht="11.25" customHeight="1">
      <c r="A77" s="2394" t="s">
        <v>907</v>
      </c>
      <c s="513"/>
      <c r="D77" s="667">
        <v>1</v>
      </c>
      <c s="668" t="s">
        <v>908</v>
      </c>
      <c s="723" t="s">
        <v>810</v>
      </c>
      <c s="726"/>
      <c s="1025"/>
      <c s="726"/>
      <c s="1025"/>
      <c s="291" t="s">
        <v>909</v>
      </c>
      <c r="X77" s="760">
        <v>0</v>
      </c>
    </row>
    <row r="78" spans="1:24" s="1637" customFormat="1" ht="11.25" customHeight="1">
      <c r="A78" s="2394"/>
      <c s="513"/>
      <c r="D78" s="667" t="s">
        <v>110</v>
      </c>
      <c s="668" t="s">
        <v>910</v>
      </c>
      <c s="723" t="s">
        <v>810</v>
      </c>
      <c s="726"/>
      <c s="1025"/>
      <c s="726"/>
      <c s="1025"/>
      <c s="291" t="s">
        <v>911</v>
      </c>
      <c r="X78" s="760">
        <v>0</v>
      </c>
    </row>
    <row r="79" spans="1:24" s="1637" customFormat="1" ht="22.5" customHeight="1">
      <c r="A79" s="2394"/>
      <c s="513"/>
      <c r="D79" s="667" t="s">
        <v>89</v>
      </c>
      <c s="724" t="s">
        <v>912</v>
      </c>
      <c s="662" t="s">
        <v>859</v>
      </c>
      <c s="726"/>
      <c s="1025"/>
      <c s="726"/>
      <c s="1025"/>
      <c s="291" t="s">
        <v>913</v>
      </c>
      <c r="X79" s="760">
        <v>0</v>
      </c>
    </row>
    <row r="80" spans="1:24" s="1637" customFormat="1" ht="11.25" customHeight="1">
      <c r="A80" s="2394"/>
      <c s="513"/>
      <c r="D80" s="667" t="s">
        <v>324</v>
      </c>
      <c s="725" t="s">
        <v>914</v>
      </c>
      <c s="662" t="s">
        <v>859</v>
      </c>
      <c s="726"/>
      <c s="1025"/>
      <c s="726"/>
      <c s="1025"/>
      <c s="291"/>
      <c r="X80" s="760">
        <v>0</v>
      </c>
    </row>
    <row r="81" spans="1:24" s="1637" customFormat="1" ht="11.25" customHeight="1">
      <c r="A81" s="2394"/>
      <c s="513"/>
      <c r="D81" s="667" t="s">
        <v>332</v>
      </c>
      <c s="725" t="s">
        <v>915</v>
      </c>
      <c s="662" t="s">
        <v>859</v>
      </c>
      <c s="726"/>
      <c s="1025"/>
      <c s="726"/>
      <c s="1025"/>
      <c s="291"/>
      <c r="X81" s="760">
        <v>0</v>
      </c>
    </row>
    <row r="82" spans="1:24" s="1637" customFormat="1" ht="11.25" customHeight="1">
      <c r="A82" s="2394"/>
      <c s="513"/>
      <c r="D82" s="667" t="s">
        <v>334</v>
      </c>
      <c s="725" t="s">
        <v>916</v>
      </c>
      <c s="662" t="s">
        <v>859</v>
      </c>
      <c s="726"/>
      <c s="1025"/>
      <c s="726"/>
      <c s="1025"/>
      <c s="291"/>
      <c r="X82" s="760">
        <v>0</v>
      </c>
    </row>
    <row r="83" spans="1:24" s="1637" customFormat="1" ht="11.25" customHeight="1">
      <c r="A83" s="2394"/>
      <c s="513"/>
      <c r="D83" s="667" t="s">
        <v>336</v>
      </c>
      <c s="725" t="s">
        <v>917</v>
      </c>
      <c s="662" t="s">
        <v>859</v>
      </c>
      <c s="726"/>
      <c s="1025"/>
      <c s="726"/>
      <c s="1025"/>
      <c s="291"/>
      <c r="X83" s="760">
        <v>0</v>
      </c>
    </row>
    <row r="84" spans="1:24" s="1637" customFormat="1" ht="11.25" customHeight="1">
      <c r="A84" s="2394"/>
      <c s="513"/>
      <c r="D84" s="667" t="s">
        <v>918</v>
      </c>
      <c s="725" t="s">
        <v>919</v>
      </c>
      <c s="662" t="s">
        <v>859</v>
      </c>
      <c s="726"/>
      <c s="1025"/>
      <c s="726"/>
      <c s="1025"/>
      <c s="291"/>
      <c r="X84" s="760">
        <v>0</v>
      </c>
    </row>
    <row r="85" spans="1:24" s="1637" customFormat="1" ht="11.25" customHeight="1">
      <c r="A85" s="2394"/>
      <c s="513"/>
      <c r="D85" s="667" t="s">
        <v>920</v>
      </c>
      <c s="725" t="s">
        <v>921</v>
      </c>
      <c s="662" t="s">
        <v>859</v>
      </c>
      <c s="726"/>
      <c s="1025"/>
      <c s="726"/>
      <c s="1025"/>
      <c s="291"/>
      <c r="X85" s="760">
        <v>0</v>
      </c>
    </row>
    <row r="86" spans="1:24" s="1637" customFormat="1" ht="11.25" customHeight="1">
      <c r="A86" s="2394"/>
      <c s="513"/>
      <c r="D86" s="667" t="s">
        <v>922</v>
      </c>
      <c s="725" t="s">
        <v>923</v>
      </c>
      <c s="662" t="s">
        <v>859</v>
      </c>
      <c s="726"/>
      <c s="1025"/>
      <c s="726"/>
      <c s="1025"/>
      <c s="291"/>
      <c r="X86" s="760">
        <v>0</v>
      </c>
    </row>
    <row r="87" spans="1:24" s="1637" customFormat="1" ht="45" customHeight="1">
      <c r="A87" s="2394"/>
      <c s="513"/>
      <c r="D87" s="667" t="s">
        <v>90</v>
      </c>
      <c s="668" t="s">
        <v>924</v>
      </c>
      <c s="662" t="s">
        <v>859</v>
      </c>
      <c s="726"/>
      <c s="1025"/>
      <c s="726"/>
      <c s="1025"/>
      <c s="291" t="s">
        <v>925</v>
      </c>
      <c r="X87" s="760">
        <v>0</v>
      </c>
    </row>
    <row r="88" spans="1:24" s="1637" customFormat="1" ht="11.25" customHeight="1">
      <c r="A88" s="2394"/>
      <c s="513"/>
      <c r="D88" s="667" t="s">
        <v>754</v>
      </c>
      <c s="725" t="s">
        <v>914</v>
      </c>
      <c s="662" t="s">
        <v>859</v>
      </c>
      <c s="726"/>
      <c s="1025"/>
      <c s="726"/>
      <c s="1025"/>
      <c s="291"/>
      <c r="X88" s="760">
        <v>0</v>
      </c>
    </row>
    <row r="89" spans="1:24" s="1637" customFormat="1" ht="11.25" customHeight="1">
      <c r="A89" s="2394"/>
      <c s="513"/>
      <c r="D89" s="667" t="s">
        <v>796</v>
      </c>
      <c s="725" t="s">
        <v>915</v>
      </c>
      <c s="662" t="s">
        <v>859</v>
      </c>
      <c s="726"/>
      <c s="1025"/>
      <c s="726"/>
      <c s="1025"/>
      <c s="291"/>
      <c r="X89" s="760">
        <v>0</v>
      </c>
    </row>
    <row r="90" spans="1:24" s="1637" customFormat="1" ht="11.25" customHeight="1">
      <c r="A90" s="2394"/>
      <c s="513"/>
      <c r="D90" s="667" t="s">
        <v>799</v>
      </c>
      <c s="725" t="s">
        <v>916</v>
      </c>
      <c s="662" t="s">
        <v>859</v>
      </c>
      <c s="726"/>
      <c s="1025"/>
      <c s="726"/>
      <c s="1025"/>
      <c s="291"/>
      <c r="X90" s="760">
        <v>0</v>
      </c>
    </row>
    <row r="91" spans="1:24" s="1637" customFormat="1" ht="11.25" customHeight="1">
      <c r="A91" s="2394"/>
      <c s="513"/>
      <c r="D91" s="667" t="s">
        <v>877</v>
      </c>
      <c s="725" t="s">
        <v>917</v>
      </c>
      <c s="662" t="s">
        <v>859</v>
      </c>
      <c s="726"/>
      <c s="1025"/>
      <c s="726"/>
      <c s="1025"/>
      <c s="291"/>
      <c r="X91" s="760">
        <v>0</v>
      </c>
    </row>
    <row r="92" spans="1:24" s="1637" customFormat="1" ht="11.25" customHeight="1">
      <c r="A92" s="2394"/>
      <c s="513"/>
      <c r="D92" s="667" t="s">
        <v>879</v>
      </c>
      <c s="725" t="s">
        <v>919</v>
      </c>
      <c s="662" t="s">
        <v>859</v>
      </c>
      <c s="726"/>
      <c s="1025"/>
      <c s="726"/>
      <c s="1025"/>
      <c s="291"/>
      <c r="X92" s="760">
        <v>0</v>
      </c>
    </row>
    <row r="93" spans="1:24" s="1637" customFormat="1" ht="11.25" customHeight="1">
      <c r="A93" s="2394"/>
      <c s="513"/>
      <c r="D93" s="667" t="s">
        <v>926</v>
      </c>
      <c s="725" t="s">
        <v>921</v>
      </c>
      <c s="662" t="s">
        <v>859</v>
      </c>
      <c s="726"/>
      <c s="1025"/>
      <c s="726"/>
      <c s="1025"/>
      <c s="291"/>
      <c r="X93" s="760">
        <v>0</v>
      </c>
    </row>
    <row r="94" spans="1:24" s="1637" customFormat="1" ht="11.25" customHeight="1">
      <c r="A94" s="2394"/>
      <c s="513"/>
      <c r="D94" s="667" t="s">
        <v>927</v>
      </c>
      <c s="725" t="s">
        <v>923</v>
      </c>
      <c s="662" t="s">
        <v>859</v>
      </c>
      <c s="726"/>
      <c s="1025"/>
      <c s="726"/>
      <c s="1025"/>
      <c s="291"/>
      <c r="X94" s="760">
        <v>0</v>
      </c>
    </row>
    <row r="95" spans="1:24" s="1637" customFormat="1" ht="24.75" customHeight="1">
      <c r="A95" s="2394"/>
      <c s="513"/>
      <c r="D95" s="667" t="s">
        <v>111</v>
      </c>
      <c s="668" t="s">
        <v>928</v>
      </c>
      <c s="727" t="s">
        <v>558</v>
      </c>
      <c s="729"/>
      <c s="1025"/>
      <c s="729"/>
      <c s="1025"/>
      <c s="291" t="s">
        <v>929</v>
      </c>
      <c r="X95" s="760">
        <v>0</v>
      </c>
    </row>
    <row r="96" spans="1:24" s="1637" customFormat="1" ht="33.75" customHeight="1">
      <c r="A96" s="2394"/>
      <c s="513"/>
      <c r="D96" s="667" t="s">
        <v>91</v>
      </c>
      <c s="668" t="s">
        <v>930</v>
      </c>
      <c s="728" t="s">
        <v>820</v>
      </c>
      <c s="730"/>
      <c s="1025"/>
      <c s="730"/>
      <c s="1025"/>
      <c s="291"/>
      <c r="X96" s="760">
        <v>0</v>
      </c>
    </row>
    <row r="97" spans="1:24" s="1637" customFormat="1" ht="22.5" customHeight="1">
      <c r="A97" s="2394"/>
      <c s="513" t="s">
        <v>588</v>
      </c>
      <c r="D97" s="667" t="s">
        <v>92</v>
      </c>
      <c s="668" t="s">
        <v>931</v>
      </c>
      <c s="728" t="s">
        <v>306</v>
      </c>
      <c s="387"/>
      <c s="1025"/>
      <c s="387"/>
      <c s="1025"/>
      <c s="291" t="s">
        <v>631</v>
      </c>
      <c r="X97" s="760">
        <v>0</v>
      </c>
    </row>
    <row r="98" spans="1:24" s="1637" customFormat="1" ht="45" customHeight="1">
      <c r="A98" s="2394"/>
      <c s="513" t="s">
        <v>588</v>
      </c>
      <c r="D98" s="667" t="s">
        <v>932</v>
      </c>
      <c s="669" t="s">
        <v>933</v>
      </c>
      <c s="723" t="s">
        <v>306</v>
      </c>
      <c s="387"/>
      <c s="1025"/>
      <c s="387"/>
      <c s="1025"/>
      <c s="291" t="s">
        <v>631</v>
      </c>
      <c r="X98" s="760">
        <v>0</v>
      </c>
    </row>
    <row r="99" spans="1:24" s="1637" customFormat="1" ht="95.25" customHeight="1">
      <c r="A99" s="2394"/>
      <c s="513" t="s">
        <v>588</v>
      </c>
      <c r="D99" s="667" t="s">
        <v>112</v>
      </c>
      <c s="668" t="s">
        <v>934</v>
      </c>
      <c s="723" t="s">
        <v>306</v>
      </c>
      <c s="387"/>
      <c s="1025"/>
      <c s="387"/>
      <c s="1025"/>
      <c s="291" t="s">
        <v>631</v>
      </c>
      <c r="X99" s="760">
        <v>0</v>
      </c>
    </row>
    <row r="100" spans="1:24" s="1637" customFormat="1" ht="22.5" customHeight="1">
      <c r="A100" s="2394"/>
      <c s="513" t="s">
        <v>588</v>
      </c>
      <c r="D100" s="667" t="s">
        <v>150</v>
      </c>
      <c s="668" t="s">
        <v>935</v>
      </c>
      <c s="723" t="s">
        <v>306</v>
      </c>
      <c s="387"/>
      <c s="1025"/>
      <c s="387"/>
      <c s="1025"/>
      <c s="291" t="s">
        <v>631</v>
      </c>
      <c r="X100" s="760">
        <v>0</v>
      </c>
    </row>
    <row r="101" spans="1:24" s="1637" customFormat="1" ht="11.55" customHeight="1">
      <c r="A101" s="1035"/>
      <c s="520"/>
      <c r="D101" s="1036"/>
      <c s="1037"/>
      <c r="X101" s="511">
        <v>11</v>
      </c>
    </row>
    <row r="102" spans="1:24" ht="22.5" customHeight="1" hidden="1">
      <c r="A102" s="538" t="s">
        <v>81</v>
      </c>
      <c s="513">
        <v>0</v>
      </c>
      <c s="507">
        <v>3</v>
      </c>
      <c s="507">
        <v>7</v>
      </c>
      <c s="507">
        <v>69</v>
      </c>
      <c s="507">
        <v>10</v>
      </c>
      <c s="507">
        <v>0</v>
      </c>
      <c s="507">
        <v>0</v>
      </c>
      <c s="760">
        <v>43</v>
      </c>
      <c s="760">
        <v>43</v>
      </c>
      <c s="507">
        <v>73</v>
      </c>
      <c s="507">
        <v>3</v>
      </c>
      <c s="507">
        <v>10</v>
      </c>
      <c s="507">
        <v>10</v>
      </c>
      <c s="507">
        <v>10</v>
      </c>
      <c s="507">
        <v>10</v>
      </c>
      <c s="507">
        <v>10</v>
      </c>
      <c s="507">
        <v>10</v>
      </c>
      <c s="507">
        <v>10</v>
      </c>
      <c s="507">
        <v>10</v>
      </c>
      <c s="507">
        <v>10</v>
      </c>
      <c s="507">
        <v>10</v>
      </c>
      <c s="507">
        <v>10</v>
      </c>
      <c s="507">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E5EF36-A9F1-4A28-DD35-0.8CD106BD}" mc:Ignorable="x14ac xr xr2 xr3">
  <sheetPr>
    <tabColor rgb="FFE26B0A"/>
  </sheetPr>
  <dimension ref="A1:V4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36" style="1637" customWidth="1"/>
    <col min="6" max="6" width="9" style="1637" customWidth="1"/>
    <col min="7" max="7" width="25.7142857142857" style="1637" hidden="1" customWidth="1"/>
    <col min="8" max="8" width="33.7142857142857" style="1637" hidden="1" customWidth="1"/>
    <col min="9" max="9" width="25.7142857142857" style="1637" customWidth="1"/>
    <col min="10" max="10" width="33" style="1637" customWidth="1"/>
    <col min="11" max="11" width="93" style="1368" customWidth="1"/>
    <col min="12" max="20" width="10" style="1637" customWidth="1"/>
    <col min="21" max="21" width="10" style="677" customWidth="1"/>
    <col min="22" max="22" width="10.5714285714286" style="1637" hidden="1"/>
  </cols>
  <sheetData>
    <row r="1" spans="3:22" s="1368" customFormat="1" ht="22.5" customHeight="1" hidden="1">
      <c r="C1" s="674"/>
      <c r="G1" s="419">
        <v>4</v>
      </c>
      <c r="I1" s="419">
        <v>4</v>
      </c>
      <c r="U1" s="422"/>
      <c s="419" t="s">
        <v>14</v>
      </c>
    </row>
    <row r="2" spans="3:22" s="1368" customFormat="1" ht="15" customHeight="1" hidden="1">
      <c r="C2" s="674"/>
      <c r="U2" s="422"/>
      <c s="419">
        <v>0</v>
      </c>
    </row>
    <row r="3" spans="1:22" ht="22.5" customHeight="1" hidden="1">
      <c r="A3" s="507"/>
      <c s="2399"/>
      <c s="2400" t="s">
        <v>689</v>
      </c>
      <c s="691" t="str">
        <f>B3&amp;".1"</f>
        <v>.1</v>
      </c>
      <c s="692" t="s">
        <v>936</v>
      </c>
      <c s="693" t="s">
        <v>306</v>
      </c>
      <c s="688"/>
      <c s="403"/>
      <c s="688"/>
      <c s="403"/>
      <c s="291" t="s">
        <v>937</v>
      </c>
      <c r="V3" s="507">
        <v>0</v>
      </c>
    </row>
    <row r="4" spans="1:22" ht="15" customHeight="1" hidden="1">
      <c r="A4" s="507"/>
      <c s="2399"/>
      <c s="2400"/>
      <c s="691" t="str">
        <f>B3&amp;".2"</f>
        <v>.2</v>
      </c>
      <c s="692" t="s">
        <v>938</v>
      </c>
      <c s="693" t="s">
        <v>306</v>
      </c>
      <c s="1740" t="s">
        <v>22</v>
      </c>
      <c s="403"/>
      <c s="1740" t="s">
        <v>22</v>
      </c>
      <c s="403"/>
      <c s="291" t="s">
        <v>939</v>
      </c>
      <c r="V4" s="507">
        <v>0</v>
      </c>
    </row>
    <row r="5" spans="3:22" s="1368" customFormat="1" ht="15" customHeight="1" hidden="1">
      <c r="C5" s="674"/>
      <c r="U5" s="422"/>
      <c s="419">
        <v>0</v>
      </c>
    </row>
    <row r="6" spans="1:22" ht="22.5" customHeight="1" hidden="1">
      <c r="A6" s="507"/>
      <c s="2399"/>
      <c s="2400" t="s">
        <v>689</v>
      </c>
      <c s="691" t="str">
        <f>B6&amp;".1"</f>
        <v>.1</v>
      </c>
      <c s="692" t="s">
        <v>940</v>
      </c>
      <c s="693" t="s">
        <v>306</v>
      </c>
      <c s="688"/>
      <c s="403"/>
      <c s="688"/>
      <c s="403"/>
      <c s="291" t="s">
        <v>941</v>
      </c>
      <c r="V6" s="507">
        <v>0</v>
      </c>
    </row>
    <row r="7" spans="1:22" ht="15" customHeight="1" hidden="1">
      <c r="A7" s="507"/>
      <c s="2399"/>
      <c s="2400"/>
      <c s="691" t="str">
        <f>B6&amp;".2"</f>
        <v>.2</v>
      </c>
      <c s="692" t="s">
        <v>938</v>
      </c>
      <c s="693" t="s">
        <v>306</v>
      </c>
      <c s="1740" t="s">
        <v>22</v>
      </c>
      <c s="403"/>
      <c s="1740" t="s">
        <v>22</v>
      </c>
      <c s="403"/>
      <c s="291" t="s">
        <v>939</v>
      </c>
      <c r="V7" s="507">
        <v>0</v>
      </c>
    </row>
    <row r="8" spans="3:22" s="1368" customFormat="1" ht="15" customHeight="1" hidden="1">
      <c r="C8" s="674"/>
      <c r="U8" s="422"/>
      <c s="419">
        <v>0</v>
      </c>
    </row>
    <row r="9" spans="1:22" ht="22.5" customHeight="1" hidden="1">
      <c r="A9" s="507"/>
      <c s="2399"/>
      <c s="2400" t="s">
        <v>689</v>
      </c>
      <c s="691" t="str">
        <f>B9&amp;".1"</f>
        <v>.1</v>
      </c>
      <c s="692" t="s">
        <v>942</v>
      </c>
      <c s="693" t="s">
        <v>306</v>
      </c>
      <c s="699" t="s">
        <v>22</v>
      </c>
      <c s="403" t="s">
        <v>22</v>
      </c>
      <c s="699" t="s">
        <v>22</v>
      </c>
      <c s="403" t="s">
        <v>22</v>
      </c>
      <c s="291"/>
      <c r="V9" s="507">
        <v>0</v>
      </c>
    </row>
    <row r="10" spans="1:22" ht="15" customHeight="1" hidden="1">
      <c r="A10" s="507"/>
      <c s="2399"/>
      <c s="2400"/>
      <c s="691" t="str">
        <f>B9&amp;".2"</f>
        <v>.2</v>
      </c>
      <c s="692" t="s">
        <v>943</v>
      </c>
      <c s="693" t="s">
        <v>306</v>
      </c>
      <c s="1734" t="s">
        <v>22</v>
      </c>
      <c s="403" t="s">
        <v>22</v>
      </c>
      <c s="1734" t="s">
        <v>22</v>
      </c>
      <c s="403" t="s">
        <v>22</v>
      </c>
      <c s="291" t="s">
        <v>944</v>
      </c>
      <c r="V10" s="507">
        <v>0</v>
      </c>
    </row>
    <row r="11" spans="1:22" ht="15" customHeight="1" hidden="1">
      <c r="A11" s="507"/>
      <c s="2399"/>
      <c s="2400"/>
      <c s="691" t="str">
        <f>B9&amp;".3"</f>
        <v>.3</v>
      </c>
      <c s="692" t="s">
        <v>945</v>
      </c>
      <c s="693" t="s">
        <v>306</v>
      </c>
      <c s="1734" t="s">
        <v>22</v>
      </c>
      <c s="403" t="s">
        <v>22</v>
      </c>
      <c s="1734" t="s">
        <v>22</v>
      </c>
      <c s="403" t="s">
        <v>22</v>
      </c>
      <c s="291" t="s">
        <v>946</v>
      </c>
      <c r="V11" s="507">
        <v>0</v>
      </c>
    </row>
    <row r="12" spans="3:22" s="1368" customFormat="1" ht="15" customHeight="1" hidden="1">
      <c r="C12" s="674"/>
      <c r="U12" s="422"/>
      <c s="419">
        <v>0</v>
      </c>
    </row>
    <row r="13" spans="1:22" ht="33.75" customHeight="1" hidden="1">
      <c r="A13" s="507"/>
      <c s="2399"/>
      <c s="2400" t="s">
        <v>689</v>
      </c>
      <c s="691" t="str">
        <f>B13&amp;".1"</f>
        <v>.1</v>
      </c>
      <c s="692" t="s">
        <v>947</v>
      </c>
      <c s="693" t="s">
        <v>306</v>
      </c>
      <c s="699" t="s">
        <v>22</v>
      </c>
      <c s="403" t="s">
        <v>22</v>
      </c>
      <c s="699" t="s">
        <v>22</v>
      </c>
      <c s="403" t="s">
        <v>22</v>
      </c>
      <c s="291" t="s">
        <v>948</v>
      </c>
      <c r="V13" s="507">
        <v>0</v>
      </c>
    </row>
    <row r="14" spans="2:22" ht="15" customHeight="1" hidden="1">
      <c r="B14" s="2399"/>
      <c s="2400"/>
      <c s="691" t="str">
        <f>B13&amp;".2"</f>
        <v>.2</v>
      </c>
      <c s="692" t="s">
        <v>949</v>
      </c>
      <c s="693" t="s">
        <v>306</v>
      </c>
      <c s="1734" t="s">
        <v>22</v>
      </c>
      <c s="403" t="s">
        <v>22</v>
      </c>
      <c s="1734" t="s">
        <v>22</v>
      </c>
      <c s="403" t="s">
        <v>22</v>
      </c>
      <c s="291" t="s">
        <v>950</v>
      </c>
      <c r="V14" s="507">
        <v>0</v>
      </c>
    </row>
    <row r="15" spans="3:22" s="1368" customFormat="1" ht="15" customHeight="1" hidden="1">
      <c r="C15" s="674"/>
      <c r="U15" s="422"/>
      <c s="419">
        <v>0</v>
      </c>
    </row>
    <row r="16" spans="3:22" s="1368" customFormat="1" ht="15" customHeight="1" hidden="1">
      <c r="C16" s="674"/>
      <c r="U16" s="422"/>
      <c s="419">
        <v>0</v>
      </c>
    </row>
    <row r="17" spans="3:22" s="1368" customFormat="1" ht="15" customHeight="1" hidden="1">
      <c r="C17" s="674"/>
      <c r="U17" s="422"/>
      <c s="419">
        <v>0</v>
      </c>
    </row>
    <row r="18" spans="3:22" s="1368" customFormat="1" ht="15" customHeight="1" hidden="1">
      <c r="C18" s="674"/>
      <c r="U18" s="422"/>
      <c s="419">
        <v>0</v>
      </c>
    </row>
    <row r="19" spans="3:22" s="1368" customFormat="1" ht="15" customHeight="1" hidden="1">
      <c r="C19" s="674"/>
      <c r="U19" s="422"/>
      <c s="419">
        <v>0</v>
      </c>
    </row>
    <row r="20" spans="3:22" s="1368" customFormat="1" ht="15" customHeight="1" hidden="1">
      <c r="C20" s="674"/>
      <c r="U20" s="422"/>
      <c s="419">
        <v>0</v>
      </c>
    </row>
    <row r="21" spans="3:22" ht="15.75" customHeight="1">
      <c r="C21" s="178"/>
      <c s="511"/>
      <c s="511"/>
      <c s="511"/>
      <c s="511"/>
      <c s="511"/>
      <c s="511"/>
      <c s="511"/>
      <c r="V21" s="507">
        <v>15</v>
      </c>
    </row>
    <row r="22" spans="3:22" ht="23.25" customHeight="1">
      <c r="C22" s="178"/>
      <c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9"/>
      <c s="2239"/>
      <c s="2239"/>
      <c s="2239"/>
      <c s="2239"/>
      <c s="678"/>
      <c s="539"/>
      <c r="V22" s="507">
        <v>22</v>
      </c>
    </row>
    <row r="23" spans="3:22" ht="15.75" customHeight="1">
      <c r="C23" s="178"/>
      <c s="2178" t="str">
        <f>IF(org=0,"Не определено",org)</f>
        <v>ГУП КК "Кубаньводкомплекс"</v>
      </c>
      <c s="2178"/>
      <c s="2178"/>
      <c s="2178"/>
      <c s="2178"/>
      <c s="2178"/>
      <c s="678"/>
      <c s="539"/>
      <c r="V23" s="507">
        <v>15</v>
      </c>
    </row>
    <row r="24" spans="3:22" ht="15.75" customHeight="1">
      <c r="C24" s="178"/>
      <c s="511"/>
      <c s="511"/>
      <c s="511"/>
      <c s="539">
        <v>22</v>
      </c>
      <c s="754"/>
      <c s="539">
        <v>22</v>
      </c>
      <c s="754"/>
      <c r="V24" s="507">
        <v>15</v>
      </c>
    </row>
    <row r="25" spans="1:22" s="1637" customFormat="1" ht="1.05" customHeight="1">
      <c r="A25" s="761"/>
      <c r="C25" s="178"/>
      <c s="511"/>
      <c s="511"/>
      <c s="511"/>
      <c s="539"/>
      <c s="754"/>
      <c s="539" t="s">
        <v>118</v>
      </c>
      <c s="754"/>
      <c s="419"/>
      <c r="U25" s="677"/>
      <c s="760">
        <v>1</v>
      </c>
    </row>
    <row r="26" spans="3:22" ht="15.75" customHeight="1">
      <c r="C26" s="178"/>
      <c s="713"/>
      <c s="2369" t="s">
        <v>105</v>
      </c>
      <c s="2370"/>
      <c s="2397" t="str">
        <f>IF(G25="","",INDEX(DIFFERENTIATION_UNMERGE_VD,MATCH(G25,DIFFERENTIATION_ID_DIFF,0)))</f>
        <v/>
      </c>
      <c s="2398"/>
      <c s="2397" t="str">
        <f>IF(I25="","",INDEX(DIFFERENTIATION_UNMERGE_VD,MATCH(I25,DIFFERENTIATION_ID_DIFF,0)))</f>
        <v>Водоотведение; Транспортировка; Подключение (технологическое присоединение) к централизованной системе водоотведения</v>
      </c>
      <c s="2398"/>
      <c s="2177" t="s">
        <v>301</v>
      </c>
      <c r="V26" s="507">
        <v>15</v>
      </c>
    </row>
    <row r="27" spans="1:22" s="1637" customFormat="1" ht="15.75" customHeight="1">
      <c r="A27" s="761"/>
      <c r="C27" s="178"/>
      <c s="713"/>
      <c s="2369" t="s">
        <v>564</v>
      </c>
      <c s="2370"/>
      <c s="2397" t="str">
        <f>IF(G25="","",INDEX(DIFFERENTIATION_UNMERGE_AREA,MATCH(G25,DIFFERENTIATION_ID_DIFF,0)))</f>
        <v/>
      </c>
      <c s="2398"/>
      <c s="2397" t="str">
        <f>IF(I25="","",INDEX(DIFFERENTIATION_UNMERGE_AREA,MATCH(I25,DIFFERENTIATION_ID_DIFF,0)))</f>
        <v>Территория 1</v>
      </c>
      <c s="2398"/>
      <c s="2197"/>
      <c r="U27" s="677"/>
      <c s="760">
        <v>15</v>
      </c>
    </row>
    <row r="28" spans="1:22" s="1637" customFormat="1" ht="15.75" customHeight="1">
      <c r="A28" s="761"/>
      <c r="C28" s="178"/>
      <c s="713"/>
      <c s="2369" t="s">
        <v>565</v>
      </c>
      <c s="2370"/>
      <c s="2397" t="str">
        <f>IF(G25="","",INDEX(DIFFERENTIATION_UNMERGE_SYSTEM,MATCH(G25,DIFFERENTIATION_ID_DIFF,0)))</f>
        <v/>
      </c>
      <c s="2398"/>
      <c s="2397" t="str">
        <f>IF(I25="","",INDEX(DIFFERENTIATION_UNMERGE_SYSTEM,MATCH(I25,DIFFERENTIATION_ID_DIFF,0)))</f>
        <v>Ейский групповой водопровод (разводящие сети водоотведения)</v>
      </c>
      <c s="2398"/>
      <c s="2197"/>
      <c r="U28" s="677"/>
      <c s="760">
        <v>15</v>
      </c>
    </row>
    <row r="29" spans="1:22" s="1637" customFormat="1" ht="15.75" customHeight="1">
      <c r="A29" s="761"/>
      <c r="C29" s="178"/>
      <c s="2371" t="s">
        <v>300</v>
      </c>
      <c s="2372"/>
      <c s="2372"/>
      <c s="889"/>
      <c s="889"/>
      <c s="889"/>
      <c s="890"/>
      <c s="2197"/>
      <c r="U29" s="677"/>
      <c s="760">
        <v>15</v>
      </c>
    </row>
    <row r="30" spans="3:22" ht="35.7" customHeight="1">
      <c r="C30" s="178"/>
      <c s="763" t="s">
        <v>87</v>
      </c>
      <c s="762" t="s">
        <v>302</v>
      </c>
      <c s="762" t="s">
        <v>566</v>
      </c>
      <c s="810" t="s">
        <v>303</v>
      </c>
      <c s="809" t="s">
        <v>390</v>
      </c>
      <c s="686" t="s">
        <v>303</v>
      </c>
      <c s="467" t="s">
        <v>390</v>
      </c>
      <c s="2203"/>
      <c r="V30" s="507">
        <v>34</v>
      </c>
    </row>
    <row r="31" spans="3:22" ht="15" customHeight="1" hidden="1">
      <c r="C31" s="178"/>
      <c s="595"/>
      <c s="595"/>
      <c s="595"/>
      <c s="661"/>
      <c s="661"/>
      <c s="661"/>
      <c s="661"/>
      <c s="291"/>
      <c r="V31" s="507">
        <v>0</v>
      </c>
    </row>
    <row r="32" spans="1:22" ht="24" customHeight="1">
      <c r="A32" s="507"/>
      <c s="507" t="s">
        <v>951</v>
      </c>
      <c s="528"/>
      <c s="694">
        <v>1</v>
      </c>
      <c s="695" t="s">
        <v>952</v>
      </c>
      <c s="693" t="s">
        <v>306</v>
      </c>
      <c s="815" t="s">
        <v>306</v>
      </c>
      <c s="815" t="s">
        <v>306</v>
      </c>
      <c s="693" t="s">
        <v>306</v>
      </c>
      <c s="693" t="s">
        <v>306</v>
      </c>
      <c s="291"/>
      <c r="V32" s="507">
        <v>23</v>
      </c>
    </row>
    <row r="33" spans="1:22" ht="11.55" customHeight="1">
      <c r="A33" s="507"/>
      <c r="C33" s="507"/>
      <c s="349"/>
      <c s="582" t="s">
        <v>586</v>
      </c>
      <c s="574"/>
      <c s="574"/>
      <c s="574"/>
      <c s="574"/>
      <c s="574"/>
      <c s="575"/>
      <c r="U33" s="507"/>
      <c s="507">
        <v>11</v>
      </c>
    </row>
    <row r="34" spans="1:22" ht="24" customHeight="1">
      <c r="A34" s="507"/>
      <c s="583" t="s">
        <v>636</v>
      </c>
      <c s="528"/>
      <c s="694">
        <v>2</v>
      </c>
      <c s="695" t="s">
        <v>953</v>
      </c>
      <c s="822" t="s">
        <v>306</v>
      </c>
      <c s="822" t="s">
        <v>306</v>
      </c>
      <c s="822" t="s">
        <v>306</v>
      </c>
      <c s="693"/>
      <c s="693"/>
      <c s="291"/>
      <c r="V34" s="507">
        <v>23</v>
      </c>
    </row>
    <row r="35" spans="1:22" ht="11.55" customHeight="1">
      <c r="A35" s="507"/>
      <c r="C35" s="507"/>
      <c s="349"/>
      <c s="582" t="s">
        <v>954</v>
      </c>
      <c s="574"/>
      <c s="696"/>
      <c s="574"/>
      <c s="696"/>
      <c s="574"/>
      <c s="575"/>
      <c r="U35" s="507"/>
      <c s="507">
        <v>11</v>
      </c>
    </row>
    <row r="36" spans="1:22" ht="71.25" customHeight="1">
      <c r="A36" s="507"/>
      <c s="507" t="s">
        <v>955</v>
      </c>
      <c s="528"/>
      <c s="694">
        <v>3</v>
      </c>
      <c s="695" t="s">
        <v>956</v>
      </c>
      <c s="697" t="s">
        <v>306</v>
      </c>
      <c s="816" t="s">
        <v>957</v>
      </c>
      <c s="815" t="s">
        <v>306</v>
      </c>
      <c s="526" t="s">
        <v>957</v>
      </c>
      <c s="693" t="s">
        <v>306</v>
      </c>
      <c s="291" t="s">
        <v>958</v>
      </c>
      <c r="V36" s="507">
        <v>68</v>
      </c>
    </row>
    <row r="37" spans="1:22" ht="11.55" customHeight="1">
      <c r="A37" s="507"/>
      <c r="C37" s="507"/>
      <c s="349"/>
      <c s="582" t="s">
        <v>959</v>
      </c>
      <c s="574"/>
      <c s="696"/>
      <c s="696"/>
      <c s="696"/>
      <c s="696"/>
      <c s="575"/>
      <c r="U37" s="507"/>
      <c s="507">
        <v>11</v>
      </c>
    </row>
    <row r="38" spans="1:22" ht="71.25" customHeight="1">
      <c r="A38" s="507"/>
      <c s="507" t="s">
        <v>960</v>
      </c>
      <c s="528"/>
      <c s="694">
        <v>4</v>
      </c>
      <c s="695" t="s">
        <v>961</v>
      </c>
      <c s="697" t="s">
        <v>306</v>
      </c>
      <c s="816" t="s">
        <v>957</v>
      </c>
      <c s="817" t="s">
        <v>306</v>
      </c>
      <c s="526" t="s">
        <v>957</v>
      </c>
      <c s="523" t="s">
        <v>306</v>
      </c>
      <c s="681" t="s">
        <v>962</v>
      </c>
      <c r="V38" s="507">
        <v>68</v>
      </c>
    </row>
    <row r="39" spans="1:22" ht="11.55" customHeight="1">
      <c r="A39" s="507"/>
      <c r="C39" s="507"/>
      <c s="349"/>
      <c s="582" t="s">
        <v>963</v>
      </c>
      <c s="574"/>
      <c s="574"/>
      <c s="698"/>
      <c s="574"/>
      <c s="698"/>
      <c s="575"/>
      <c r="U39" s="507"/>
      <c s="507">
        <v>11</v>
      </c>
    </row>
    <row r="40" spans="1:22" ht="22.5" customHeight="1" hidden="1">
      <c r="A40" s="451" t="s">
        <v>81</v>
      </c>
      <c s="507">
        <v>0</v>
      </c>
      <c s="685">
        <v>4</v>
      </c>
      <c s="507">
        <v>6</v>
      </c>
      <c s="507">
        <v>36</v>
      </c>
      <c s="507">
        <v>9</v>
      </c>
      <c s="760">
        <v>0</v>
      </c>
      <c s="760">
        <v>0</v>
      </c>
      <c s="507">
        <v>25</v>
      </c>
      <c s="507">
        <v>33</v>
      </c>
      <c s="419">
        <v>93</v>
      </c>
      <c s="507">
        <v>10</v>
      </c>
      <c s="507">
        <v>10</v>
      </c>
      <c s="507">
        <v>10</v>
      </c>
      <c s="507">
        <v>10</v>
      </c>
      <c s="507">
        <v>10</v>
      </c>
      <c s="507">
        <v>10</v>
      </c>
      <c s="507">
        <v>10</v>
      </c>
      <c s="507">
        <v>10</v>
      </c>
      <c s="507">
        <v>10</v>
      </c>
      <c s="677">
        <v>10</v>
      </c>
      <c s="507">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G36 I36 G38 I38"/>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7D4F57D-B5B9-BDE8-2A35-0.15588AB6}"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8" hidden="1" customWidth="1"/>
    <col min="4" max="4" width="6.71428571428571" style="1368" hidden="1" customWidth="1"/>
    <col min="5" max="5" width="3" style="1637" customWidth="1"/>
    <col min="6" max="6" width="6" style="1637" customWidth="1"/>
    <col min="7" max="7" width="37" style="1637" customWidth="1"/>
    <col min="8" max="8" width="16" style="1637" customWidth="1"/>
    <col min="9" max="10" width="19" style="1637" customWidth="1"/>
    <col min="11" max="11" width="24" style="1637" customWidth="1"/>
    <col min="12" max="13" width="25" style="1637" customWidth="1"/>
    <col min="14" max="16" width="17" style="1637" customWidth="1"/>
    <col min="17" max="24" width="19" style="1637" customWidth="1"/>
    <col min="25" max="25" width="7" style="1637" customWidth="1"/>
    <col min="26" max="26" width="3" style="1637" customWidth="1"/>
    <col min="27" max="27" width="6" style="1637" customWidth="1"/>
    <col min="28" max="28" width="34" style="1637" customWidth="1"/>
    <col min="29" max="30" width="8" style="1637" customWidth="1"/>
    <col min="31" max="31" width="9.14285714285714" style="1637" hidden="1"/>
  </cols>
  <sheetData>
    <row r="1" spans="1:31" s="1368" customFormat="1" ht="10.5" customHeight="1" hidden="1">
      <c r="A1" s="897"/>
      <c s="897"/>
      <c s="897"/>
      <c r="E1" s="539"/>
      <c r="H1" s="1162"/>
      <c r="AE1" s="419" t="s">
        <v>14</v>
      </c>
    </row>
    <row r="2" spans="31:31" ht="10.5" customHeight="1" hidden="1">
      <c r="AE2" s="760">
        <v>0</v>
      </c>
    </row>
    <row r="3" spans="1:31" s="1634" customFormat="1" ht="10.5" customHeight="1" hidden="1">
      <c r="A3" s="897"/>
      <c s="897"/>
      <c s="897"/>
      <c s="419"/>
      <c s="364"/>
      <c r="G3" s="1634" t="s">
        <v>964</v>
      </c>
      <c s="1158"/>
      <c r="AE3" s="761">
        <v>0</v>
      </c>
    </row>
    <row r="4" spans="31:31" ht="3" customHeight="1">
      <c r="AE4" s="760">
        <v>3</v>
      </c>
    </row>
    <row r="5" spans="6:31" ht="27.3" customHeight="1">
      <c r="F5" s="2250" t="str">
        <f>IP_NAME_FORM</f>
        <v>Форма 7. Информация об инвестиционных программах организации водоотведения и отчетах об их исполнении</v>
      </c>
      <c s="2250"/>
      <c s="2250"/>
      <c s="2250"/>
      <c s="2250"/>
      <c s="2250"/>
      <c r="M5" s="584"/>
      <c r="AB5" s="908"/>
      <c r="AE5" s="760">
        <v>26</v>
      </c>
    </row>
    <row r="6" spans="1:31" s="1637" customFormat="1" ht="16.8" customHeight="1">
      <c r="A6" s="1168"/>
      <c s="1168"/>
      <c s="1168"/>
      <c s="1162"/>
      <c s="1637"/>
      <c s="2251" t="str">
        <f>IF(org=0,"Не определено",org)</f>
        <v>ГУП КК "Кубаньводкомплекс"</v>
      </c>
      <c s="2251"/>
      <c s="2251"/>
      <c s="2251"/>
      <c s="2251"/>
      <c s="2251"/>
      <c r="M6" s="584"/>
      <c r="AB6" s="1150"/>
      <c r="AE6" s="1633">
        <v>16</v>
      </c>
    </row>
    <row r="7" spans="31:31" ht="10.5" customHeight="1">
      <c r="AE7" s="760">
        <v>10</v>
      </c>
    </row>
    <row r="8" spans="1:31" ht="10.5" customHeight="1">
      <c r="A8" s="1053"/>
      <c s="1053"/>
      <c s="1053"/>
      <c r="F8" s="2103" t="s">
        <v>300</v>
      </c>
      <c s="2104"/>
      <c s="2104"/>
      <c s="2104"/>
      <c s="2104"/>
      <c s="2104"/>
      <c s="2104"/>
      <c s="2104"/>
      <c s="2104"/>
      <c s="2104"/>
      <c s="2104"/>
      <c s="2104"/>
      <c s="2104"/>
      <c s="2104"/>
      <c s="2104"/>
      <c s="2104"/>
      <c s="2104"/>
      <c s="2104"/>
      <c s="2104"/>
      <c s="2104"/>
      <c s="2104"/>
      <c s="2104"/>
      <c s="2105"/>
      <c r="AE8" s="760">
        <v>10</v>
      </c>
    </row>
    <row r="9" spans="1:31" ht="43.05" customHeight="1">
      <c r="A9" s="907"/>
      <c s="907"/>
      <c s="907"/>
      <c r="F9" s="2129" t="s">
        <v>87</v>
      </c>
      <c s="2129" t="s">
        <v>964</v>
      </c>
      <c s="2177" t="s">
        <v>965</v>
      </c>
      <c s="2129" t="s">
        <v>966</v>
      </c>
      <c s="2129" t="s">
        <v>967</v>
      </c>
      <c s="2129" t="s">
        <v>968</v>
      </c>
      <c s="2129" t="s">
        <v>969</v>
      </c>
      <c s="2129" t="s">
        <v>970</v>
      </c>
      <c s="2211" t="s">
        <v>971</v>
      </c>
      <c s="2211"/>
      <c s="2211"/>
      <c s="2401" t="s">
        <v>972</v>
      </c>
      <c s="2402"/>
      <c s="2402"/>
      <c s="2403"/>
      <c s="2401" t="s">
        <v>973</v>
      </c>
      <c s="2402"/>
      <c s="2402"/>
      <c s="2403"/>
      <c s="2103" t="s">
        <v>974</v>
      </c>
      <c s="2104"/>
      <c s="2104"/>
      <c s="2105"/>
      <c r="AE9" s="760">
        <v>41</v>
      </c>
    </row>
    <row r="10" spans="1:31" ht="43.05" customHeight="1">
      <c r="A10" s="907"/>
      <c s="907"/>
      <c s="907"/>
      <c r="F10" s="2177"/>
      <c s="2177"/>
      <c s="2234"/>
      <c s="2177"/>
      <c s="2177"/>
      <c s="2177"/>
      <c s="2177"/>
      <c s="2177"/>
      <c s="905" t="s">
        <v>975</v>
      </c>
      <c s="905" t="s">
        <v>976</v>
      </c>
      <c s="906" t="s">
        <v>977</v>
      </c>
      <c s="917" t="s">
        <v>88</v>
      </c>
      <c s="917" t="s">
        <v>978</v>
      </c>
      <c s="917" t="s">
        <v>979</v>
      </c>
      <c s="918" t="s">
        <v>980</v>
      </c>
      <c s="917" t="s">
        <v>88</v>
      </c>
      <c s="917" t="s">
        <v>981</v>
      </c>
      <c s="917" t="s">
        <v>979</v>
      </c>
      <c s="918" t="s">
        <v>980</v>
      </c>
      <c s="303" t="s">
        <v>982</v>
      </c>
      <c s="2103" t="s">
        <v>87</v>
      </c>
      <c s="2105"/>
      <c s="1051" t="s">
        <v>983</v>
      </c>
      <c r="AE10" s="760">
        <v>41</v>
      </c>
    </row>
    <row r="11" spans="1:31" s="1644" customFormat="1" ht="5.25" customHeight="1" hidden="1">
      <c r="A11" s="1054"/>
      <c s="1054"/>
      <c s="1054"/>
      <c r="E11" s="1052"/>
      <c s="2408" t="s">
        <v>376</v>
      </c>
      <c s="2405"/>
      <c s="2404"/>
      <c s="2404"/>
      <c s="2404"/>
      <c s="2406"/>
      <c s="2406"/>
      <c s="2406"/>
      <c s="2404"/>
      <c s="2404"/>
      <c s="2129"/>
      <c s="2181"/>
      <c s="2181"/>
      <c s="2181"/>
      <c s="2404"/>
      <c s="2181"/>
      <c s="2181"/>
      <c s="2181"/>
      <c s="2404"/>
      <c s="2110"/>
      <c s="2110"/>
      <c s="2110"/>
      <c s="2110"/>
      <c r="AD11" s="513" t="s">
        <v>984</v>
      </c>
      <c s="513">
        <v>0</v>
      </c>
    </row>
    <row r="12" spans="1:31" s="1644" customFormat="1" ht="5.25" customHeight="1" hidden="1">
      <c r="A12" s="898"/>
      <c s="898"/>
      <c s="898"/>
      <c r="E12" s="520"/>
      <c s="2408"/>
      <c s="2405"/>
      <c s="2404"/>
      <c s="2404"/>
      <c s="2404"/>
      <c s="2406"/>
      <c s="2406"/>
      <c s="2406"/>
      <c s="2404"/>
      <c s="2404"/>
      <c s="2129"/>
      <c s="2181"/>
      <c s="2181"/>
      <c s="2181"/>
      <c s="2404"/>
      <c s="2181"/>
      <c s="2181"/>
      <c s="2181"/>
      <c s="2404"/>
      <c s="2407"/>
      <c s="2407"/>
      <c s="2407"/>
      <c s="2407"/>
      <c r="AE12" s="513">
        <v>0</v>
      </c>
    </row>
    <row r="13" spans="6:31" ht="10.5" customHeight="1">
      <c r="F13" s="904"/>
      <c s="652" t="s">
        <v>985</v>
      </c>
      <c s="1170"/>
      <c s="574"/>
      <c s="574"/>
      <c s="574"/>
      <c s="574"/>
      <c s="574"/>
      <c s="574"/>
      <c s="574"/>
      <c s="574"/>
      <c s="574"/>
      <c s="574"/>
      <c s="574"/>
      <c s="574"/>
      <c s="574"/>
      <c s="574"/>
      <c s="574"/>
      <c s="574"/>
      <c s="574"/>
      <c s="698"/>
      <c s="698"/>
      <c s="919"/>
      <c r="AE13" s="760">
        <v>10</v>
      </c>
    </row>
    <row r="14" spans="31:31" ht="10.5" customHeight="1">
      <c r="AE14" s="760">
        <v>10</v>
      </c>
    </row>
    <row r="15" spans="1:31" s="1644" customFormat="1" ht="10.5" customHeight="1">
      <c r="A15" s="1169"/>
      <c s="1169"/>
      <c s="1169"/>
      <c r="E15" s="520"/>
      <c r="H15" s="513">
        <f>IFERROR(MATCH("нет",IP_MAIN_DIFFERENTIATION_EVENTS_FLAG,0),0)</f>
        <v>0</v>
      </c>
      <c r="AE15" s="513">
        <v>10</v>
      </c>
    </row>
    <row r="16" spans="1:31" ht="10.5" customHeight="1" hidden="1">
      <c r="A16" s="897" t="s">
        <v>81</v>
      </c>
      <c s="897">
        <v>0</v>
      </c>
      <c s="897">
        <v>0</v>
      </c>
      <c s="419">
        <v>0</v>
      </c>
      <c s="511">
        <v>3</v>
      </c>
      <c s="760">
        <v>6</v>
      </c>
      <c s="760">
        <v>37</v>
      </c>
      <c s="1157">
        <v>16</v>
      </c>
      <c s="760">
        <v>19</v>
      </c>
      <c s="760">
        <v>19</v>
      </c>
      <c s="760">
        <v>24</v>
      </c>
      <c s="760">
        <v>25</v>
      </c>
      <c s="760">
        <v>25</v>
      </c>
      <c s="760">
        <v>17</v>
      </c>
      <c s="760">
        <v>17</v>
      </c>
      <c s="760">
        <v>17</v>
      </c>
      <c s="760">
        <v>19</v>
      </c>
      <c s="760">
        <v>19</v>
      </c>
      <c s="760">
        <v>19</v>
      </c>
      <c s="760">
        <v>19</v>
      </c>
      <c s="760">
        <v>19</v>
      </c>
      <c s="760">
        <v>19</v>
      </c>
      <c s="760">
        <v>19</v>
      </c>
      <c s="760">
        <v>19</v>
      </c>
      <c s="760">
        <v>7</v>
      </c>
      <c s="760">
        <v>3</v>
      </c>
      <c s="760">
        <v>6</v>
      </c>
      <c s="760">
        <v>34</v>
      </c>
      <c s="760">
        <v>8</v>
      </c>
      <c s="760">
        <v>8</v>
      </c>
      <c s="76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679B0D3-A0AF-873B-ED7C-0.B8954047}"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8" hidden="1" customWidth="1"/>
    <col min="4" max="4" width="4.14285714285714" style="1368" hidden="1" customWidth="1"/>
    <col min="5" max="5" width="3" style="1637" customWidth="1"/>
    <col min="6" max="6" width="14" style="1637" customWidth="1"/>
    <col min="7" max="7" width="3" style="1637" customWidth="1"/>
    <col min="8" max="8" width="7" style="1637" customWidth="1"/>
    <col min="9" max="10" width="16" style="1637" customWidth="1"/>
    <col min="11" max="11" width="25" style="1637" customWidth="1"/>
    <col min="12" max="12" width="7" style="1637" customWidth="1"/>
    <col min="13" max="13" width="15" style="1637" customWidth="1"/>
    <col min="14" max="14" width="3" style="1637" customWidth="1"/>
    <col min="15" max="15" width="4" style="1637" customWidth="1"/>
    <col min="16" max="16" width="8" style="1637" customWidth="1"/>
    <col min="17" max="17" width="21" style="1637" customWidth="1"/>
    <col min="18" max="18" width="14" style="1637" customWidth="1"/>
    <col min="19" max="20" width="17" style="1637" customWidth="1"/>
    <col min="21" max="21" width="9" style="1637" customWidth="1"/>
    <col min="22" max="22" width="12" style="1637" customWidth="1"/>
    <col min="23" max="23" width="9" style="1637" customWidth="1"/>
    <col min="24" max="24" width="21" style="1637" customWidth="1"/>
    <col min="25" max="25" width="12" style="1637" customWidth="1"/>
    <col min="26" max="26" width="3" style="1637" customWidth="1"/>
    <col min="27" max="27" width="6" style="1637" customWidth="1"/>
    <col min="28" max="28" width="38" style="1637" customWidth="1"/>
    <col min="29" max="29" width="15" style="1637" customWidth="1"/>
    <col min="30" max="30" width="37.5714285714286" style="1637" hidden="1" customWidth="1"/>
    <col min="31" max="31" width="15.7142857142857" style="1637" hidden="1" customWidth="1"/>
    <col min="32" max="34" width="16" style="1637" customWidth="1"/>
    <col min="35" max="37" width="16.7142857142857" style="1637" hidden="1" customWidth="1"/>
    <col min="38" max="58" width="8" style="1637" customWidth="1"/>
    <col min="59" max="59" width="9.14285714285714" style="1637" hidden="1"/>
  </cols>
  <sheetData>
    <row r="1" spans="1:13 30:35 59:59" s="1368" customFormat="1" ht="10.5" customHeight="1" hidden="1">
      <c r="A1" s="897"/>
      <c s="897"/>
      <c s="897"/>
      <c r="E1" s="539"/>
      <c r="H1" s="1162"/>
      <c r="L1" s="1130"/>
      <c s="1130"/>
      <c r="AD1" s="1130"/>
      <c r="AH1" s="1149"/>
      <c s="1142"/>
      <c r="BG1" s="419" t="s">
        <v>14</v>
      </c>
    </row>
    <row r="2" spans="59:59" ht="10.5" customHeight="1" hidden="1">
      <c r="BG2" s="760">
        <v>0</v>
      </c>
    </row>
    <row r="3" spans="1:13 30:35 59:59" s="1634" customFormat="1" ht="10.5" customHeight="1" hidden="1">
      <c r="A3" s="897"/>
      <c s="897"/>
      <c s="897"/>
      <c s="419"/>
      <c s="364"/>
      <c r="H3" s="1158"/>
      <c r="L3" s="1128"/>
      <c s="1128"/>
      <c r="AD3" s="1128"/>
      <c r="AH3" s="1147"/>
      <c s="1140"/>
      <c r="BG3" s="761">
        <v>0</v>
      </c>
    </row>
    <row r="4" spans="59:59" ht="3" customHeight="1">
      <c r="BG4" s="760">
        <v>3</v>
      </c>
    </row>
    <row r="5" spans="6:13 33:34 59:59" ht="27.3" customHeight="1">
      <c r="F5" s="2250" t="str">
        <f>IP_NAME_FORM</f>
        <v>Форма 7. Информация об инвестиционных программах организации водоотведения и отчетах об их исполнении</v>
      </c>
      <c s="2250"/>
      <c s="2250"/>
      <c s="2250"/>
      <c s="2250"/>
      <c s="2250"/>
      <c s="1137"/>
      <c s="1137"/>
      <c r="AG5" s="908"/>
      <c s="1150"/>
      <c r="BG5" s="760">
        <v>26</v>
      </c>
    </row>
    <row r="6" spans="6:13 59:59" ht="10.5" customHeight="1">
      <c r="F6" s="2178" t="str">
        <f>IF(org=0,"Не определено",org)</f>
        <v>ГУП КК "Кубаньводкомплекс"</v>
      </c>
      <c s="2178"/>
      <c s="2178"/>
      <c s="2178"/>
      <c s="2178"/>
      <c s="2178"/>
      <c s="1138"/>
      <c s="1138"/>
      <c r="BG6" s="760">
        <v>10</v>
      </c>
    </row>
    <row r="7" spans="5:59" ht="11.55" customHeight="1">
      <c r="E7" s="910"/>
      <c s="921"/>
      <c s="921"/>
      <c s="1186"/>
      <c s="921"/>
      <c s="921"/>
      <c s="923"/>
      <c s="1135"/>
      <c s="1135"/>
      <c s="921"/>
      <c s="921"/>
      <c s="921"/>
      <c s="923"/>
      <c s="921"/>
      <c s="921"/>
      <c s="921"/>
      <c s="921"/>
      <c s="921"/>
      <c s="921"/>
      <c s="921"/>
      <c s="921"/>
      <c s="921"/>
      <c s="921"/>
      <c s="921"/>
      <c s="922"/>
      <c s="1134"/>
      <c s="922"/>
      <c s="921"/>
      <c s="921"/>
      <c s="1152"/>
      <c s="1145"/>
      <c s="921"/>
      <c s="921"/>
      <c s="912"/>
      <c s="912"/>
      <c s="912"/>
      <c s="909"/>
      <c s="909"/>
      <c s="909"/>
      <c s="909"/>
      <c s="909"/>
      <c s="909"/>
      <c s="909"/>
      <c s="909"/>
      <c s="909"/>
      <c s="909"/>
      <c s="909"/>
      <c s="909"/>
      <c s="909"/>
      <c s="909"/>
      <c s="909"/>
      <c s="909"/>
      <c s="909"/>
      <c s="909"/>
      <c s="760">
        <v>11</v>
      </c>
    </row>
    <row r="8" spans="5:59" ht="10.5" customHeight="1">
      <c r="E8" s="910"/>
      <c s="2417" t="s">
        <v>300</v>
      </c>
      <c s="2418"/>
      <c s="2418"/>
      <c s="2418"/>
      <c s="2418"/>
      <c s="2418"/>
      <c s="2418"/>
      <c s="2418"/>
      <c s="2418"/>
      <c s="2418"/>
      <c s="2418"/>
      <c s="2418"/>
      <c s="2418"/>
      <c s="2418"/>
      <c s="2418"/>
      <c s="2418"/>
      <c s="2418"/>
      <c s="2418"/>
      <c s="2418"/>
      <c s="2418"/>
      <c s="2418"/>
      <c s="2418"/>
      <c s="2418"/>
      <c s="2418"/>
      <c s="2418"/>
      <c s="2418"/>
      <c s="2418"/>
      <c s="2418"/>
      <c s="2418"/>
      <c s="2418"/>
      <c s="2418"/>
      <c s="2419"/>
      <c s="911"/>
      <c s="909"/>
      <c s="909"/>
      <c s="909"/>
      <c s="909"/>
      <c s="909"/>
      <c s="909"/>
      <c s="909"/>
      <c s="909"/>
      <c s="909"/>
      <c s="909"/>
      <c s="909"/>
      <c s="909"/>
      <c s="909"/>
      <c s="909"/>
      <c s="909"/>
      <c s="909"/>
      <c s="909"/>
      <c s="909"/>
      <c s="909"/>
      <c s="909"/>
      <c s="760">
        <v>10</v>
      </c>
    </row>
    <row r="9" spans="1:59" ht="24" customHeight="1">
      <c r="A9" s="907"/>
      <c s="907"/>
      <c s="907"/>
      <c r="E9" s="910"/>
      <c s="2410" t="s">
        <v>986</v>
      </c>
      <c s="2411" t="s">
        <v>987</v>
      </c>
      <c s="2412"/>
      <c s="2129" t="s">
        <v>988</v>
      </c>
      <c s="2129"/>
      <c s="2129" t="s">
        <v>989</v>
      </c>
      <c s="2129"/>
      <c s="2129"/>
      <c s="2129"/>
      <c s="2129"/>
      <c s="2129"/>
      <c s="2129"/>
      <c s="2129"/>
      <c s="2129"/>
      <c s="2129"/>
      <c s="2129"/>
      <c s="2129"/>
      <c s="2129"/>
      <c s="2129"/>
      <c s="2129"/>
      <c s="2194" t="s">
        <v>990</v>
      </c>
      <c s="2195"/>
      <c s="2129" t="s">
        <v>991</v>
      </c>
      <c s="2129"/>
      <c s="2129"/>
      <c s="2129"/>
      <c s="2177" t="s">
        <v>992</v>
      </c>
      <c s="2129" t="s">
        <v>993</v>
      </c>
      <c s="2129"/>
      <c s="2177" t="s">
        <v>994</v>
      </c>
      <c s="2129" t="s">
        <v>995</v>
      </c>
      <c s="2129"/>
      <c s="1144"/>
      <c s="909"/>
      <c s="909"/>
      <c s="909"/>
      <c s="909"/>
      <c s="909"/>
      <c s="909"/>
      <c s="909"/>
      <c s="909"/>
      <c s="909"/>
      <c s="909"/>
      <c s="909"/>
      <c s="909"/>
      <c s="909"/>
      <c s="909"/>
      <c s="909"/>
      <c s="909"/>
      <c s="909"/>
      <c s="909"/>
      <c s="909"/>
      <c s="909"/>
      <c s="760">
        <v>23</v>
      </c>
    </row>
    <row r="10" spans="1:59" ht="25.2" customHeight="1">
      <c r="A10" s="907"/>
      <c s="907"/>
      <c s="907"/>
      <c r="E10" s="914"/>
      <c s="2410"/>
      <c s="2413"/>
      <c s="2414"/>
      <c s="2129"/>
      <c s="2129"/>
      <c s="2129" t="s">
        <v>996</v>
      </c>
      <c s="2103" t="s">
        <v>997</v>
      </c>
      <c s="2105"/>
      <c s="2129" t="s">
        <v>998</v>
      </c>
      <c s="2129"/>
      <c s="2129"/>
      <c s="2129"/>
      <c s="2129"/>
      <c s="2129"/>
      <c s="2129"/>
      <c s="2129"/>
      <c s="2129"/>
      <c s="2129"/>
      <c s="2129"/>
      <c s="2129"/>
      <c s="2196"/>
      <c s="2197"/>
      <c s="2129"/>
      <c s="2129"/>
      <c s="2129"/>
      <c s="2129"/>
      <c s="2201"/>
      <c s="2129"/>
      <c s="2129"/>
      <c s="2201"/>
      <c s="2129"/>
      <c s="2129"/>
      <c s="1144"/>
      <c s="915"/>
      <c s="915"/>
      <c s="915"/>
      <c s="915"/>
      <c s="915"/>
      <c s="915"/>
      <c s="915"/>
      <c s="915"/>
      <c s="915"/>
      <c s="915"/>
      <c s="915"/>
      <c s="915"/>
      <c s="915"/>
      <c s="915"/>
      <c s="915"/>
      <c s="915"/>
      <c s="915"/>
      <c s="915"/>
      <c s="915"/>
      <c s="915"/>
      <c s="760">
        <v>24</v>
      </c>
    </row>
    <row r="11" spans="1:59" s="1637" customFormat="1" ht="25.2" customHeight="1">
      <c r="A11" s="1131"/>
      <c s="1131"/>
      <c s="1131"/>
      <c s="1130"/>
      <c s="1132"/>
      <c s="2410"/>
      <c s="2413"/>
      <c s="2414"/>
      <c s="2129"/>
      <c s="2129"/>
      <c s="2129"/>
      <c s="2177" t="s">
        <v>999</v>
      </c>
      <c s="2177" t="s">
        <v>1000</v>
      </c>
      <c s="2129" t="s">
        <v>1001</v>
      </c>
      <c s="2129"/>
      <c s="2420" t="s">
        <v>982</v>
      </c>
      <c s="2420" t="s">
        <v>1002</v>
      </c>
      <c s="2420" t="s">
        <v>1003</v>
      </c>
      <c s="2420" t="s">
        <v>1004</v>
      </c>
      <c s="2420"/>
      <c s="2420"/>
      <c s="2420"/>
      <c s="2420"/>
      <c s="2420"/>
      <c s="2420"/>
      <c s="2196"/>
      <c s="2197"/>
      <c s="2129" t="s">
        <v>1005</v>
      </c>
      <c s="2129"/>
      <c s="2103" t="s">
        <v>1006</v>
      </c>
      <c s="2105"/>
      <c s="2201"/>
      <c s="2129"/>
      <c s="2129"/>
      <c s="2201"/>
      <c s="2129"/>
      <c s="2129"/>
      <c s="1144"/>
      <c s="1129"/>
      <c s="1129"/>
      <c s="1129"/>
      <c s="1129"/>
      <c s="1129"/>
      <c s="1129"/>
      <c s="1129"/>
      <c s="1129"/>
      <c s="1129"/>
      <c s="1129"/>
      <c s="1129"/>
      <c s="1129"/>
      <c s="1129"/>
      <c s="1129"/>
      <c s="1129"/>
      <c s="1129"/>
      <c s="1129"/>
      <c s="1129"/>
      <c s="1129"/>
      <c s="1129"/>
      <c s="1127">
        <v>24</v>
      </c>
    </row>
    <row r="12" spans="1:59" ht="35.7" customHeight="1">
      <c r="A12" s="907"/>
      <c s="907"/>
      <c s="907"/>
      <c r="E12" s="910"/>
      <c s="2410"/>
      <c s="2415"/>
      <c s="2416"/>
      <c s="1155" t="s">
        <v>88</v>
      </c>
      <c s="1155" t="s">
        <v>1007</v>
      </c>
      <c s="2129"/>
      <c s="2234"/>
      <c s="2234"/>
      <c s="2129"/>
      <c s="2129"/>
      <c s="2420"/>
      <c s="2420"/>
      <c s="2420"/>
      <c s="1136" t="s">
        <v>85</v>
      </c>
      <c s="1136" t="s">
        <v>86</v>
      </c>
      <c s="1136" t="s">
        <v>84</v>
      </c>
      <c s="1136" t="s">
        <v>1008</v>
      </c>
      <c s="1136" t="s">
        <v>84</v>
      </c>
      <c s="1136" t="s">
        <v>1009</v>
      </c>
      <c s="1136" t="s">
        <v>1010</v>
      </c>
      <c s="2202"/>
      <c s="2203"/>
      <c s="1143" t="s">
        <v>1011</v>
      </c>
      <c s="1143" t="s">
        <v>1012</v>
      </c>
      <c s="1143" t="s">
        <v>1011</v>
      </c>
      <c s="1143" t="s">
        <v>1012</v>
      </c>
      <c s="2234"/>
      <c s="1156" t="s">
        <v>1013</v>
      </c>
      <c s="1156" t="s">
        <v>1014</v>
      </c>
      <c s="2234"/>
      <c s="1156" t="s">
        <v>1013</v>
      </c>
      <c s="1156" t="s">
        <v>1014</v>
      </c>
      <c s="1144"/>
      <c s="909"/>
      <c s="909"/>
      <c s="909"/>
      <c s="909"/>
      <c s="909"/>
      <c s="909"/>
      <c s="909"/>
      <c s="909"/>
      <c s="909"/>
      <c s="909"/>
      <c s="909"/>
      <c s="909"/>
      <c s="909"/>
      <c s="909"/>
      <c s="909"/>
      <c s="909"/>
      <c s="909"/>
      <c s="909"/>
      <c s="909"/>
      <c s="909"/>
      <c s="760">
        <v>34</v>
      </c>
    </row>
    <row r="13" spans="5:59" ht="1.05" customHeight="1">
      <c r="E13" s="910"/>
      <c s="1126">
        <v>0</v>
      </c>
      <c s="1126"/>
      <c s="1126"/>
      <c s="1126"/>
      <c s="1126"/>
      <c s="1133"/>
      <c s="1133"/>
      <c s="1133"/>
      <c s="1133"/>
      <c s="1133"/>
      <c s="1133"/>
      <c s="1133"/>
      <c s="1133"/>
      <c s="1133"/>
      <c s="1133"/>
      <c s="1133"/>
      <c s="1133"/>
      <c s="1133"/>
      <c s="1133"/>
      <c s="1133"/>
      <c s="1133"/>
      <c s="1133"/>
      <c s="1133"/>
      <c s="1133"/>
      <c s="1133"/>
      <c s="1133"/>
      <c s="1133"/>
      <c s="1133"/>
      <c s="1151"/>
      <c s="1144"/>
      <c s="1133"/>
      <c s="1133"/>
      <c s="911"/>
      <c s="909"/>
      <c s="909"/>
      <c s="909"/>
      <c s="909"/>
      <c s="909"/>
      <c s="909"/>
      <c s="909"/>
      <c s="909"/>
      <c s="909"/>
      <c s="909"/>
      <c s="909"/>
      <c s="909"/>
      <c s="909"/>
      <c s="909"/>
      <c s="909"/>
      <c s="909"/>
      <c s="909"/>
      <c s="909"/>
      <c s="909"/>
      <c s="909"/>
      <c s="760">
        <v>1</v>
      </c>
    </row>
    <row r="14" spans="5:59" ht="10.5" customHeight="1">
      <c r="E14" s="909"/>
      <c s="920"/>
      <c s="920"/>
      <c s="1174"/>
      <c s="920"/>
      <c s="920"/>
      <c s="920"/>
      <c s="1133"/>
      <c s="1133"/>
      <c s="920"/>
      <c s="920"/>
      <c s="920"/>
      <c s="920"/>
      <c s="920"/>
      <c s="920"/>
      <c s="920"/>
      <c s="920"/>
      <c s="920"/>
      <c s="920"/>
      <c s="920"/>
      <c s="920"/>
      <c s="920"/>
      <c s="920"/>
      <c s="920"/>
      <c s="920"/>
      <c s="1133"/>
      <c s="920"/>
      <c s="920"/>
      <c s="920"/>
      <c s="1151"/>
      <c s="1144"/>
      <c s="920"/>
      <c s="920"/>
      <c s="909"/>
      <c s="909"/>
      <c s="909"/>
      <c s="909"/>
      <c s="909"/>
      <c s="909"/>
      <c s="909"/>
      <c s="909"/>
      <c s="909"/>
      <c s="909"/>
      <c s="909"/>
      <c s="909"/>
      <c s="909"/>
      <c s="909"/>
      <c s="909"/>
      <c s="909"/>
      <c s="909"/>
      <c s="909"/>
      <c s="909"/>
      <c s="909"/>
      <c s="909"/>
      <c s="760">
        <v>10</v>
      </c>
    </row>
    <row r="15" spans="5:59" ht="13.5" customHeight="1">
      <c r="E15" s="909"/>
      <c s="916" t="s">
        <v>1015</v>
      </c>
      <c s="916"/>
      <c s="1173"/>
      <c s="916"/>
      <c s="916"/>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13</v>
      </c>
    </row>
    <row r="16" spans="59:59" ht="10.5" customHeight="1">
      <c r="BG16" s="760">
        <v>10</v>
      </c>
    </row>
    <row r="17" spans="5:59" ht="10.5" customHeight="1">
      <c r="E17"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18" spans="5:59" ht="10.5" customHeight="1">
      <c r="E18"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19" spans="5:59" ht="10.5" customHeight="1">
      <c r="E19"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20" spans="1:59" ht="10.5" customHeight="1" hidden="1">
      <c r="A20" s="897" t="s">
        <v>81</v>
      </c>
      <c s="897">
        <v>0</v>
      </c>
      <c s="897">
        <v>0</v>
      </c>
      <c s="419">
        <v>0</v>
      </c>
      <c s="511">
        <v>3</v>
      </c>
      <c s="760">
        <v>14</v>
      </c>
      <c s="760">
        <v>3</v>
      </c>
      <c s="1157">
        <v>7</v>
      </c>
      <c s="760">
        <v>16</v>
      </c>
      <c s="760">
        <v>16</v>
      </c>
      <c s="760">
        <v>25</v>
      </c>
      <c s="1127">
        <v>7</v>
      </c>
      <c s="1127">
        <v>15</v>
      </c>
      <c s="760">
        <v>3</v>
      </c>
      <c s="760">
        <v>4</v>
      </c>
      <c s="760">
        <v>8</v>
      </c>
      <c s="760">
        <v>21</v>
      </c>
      <c s="760">
        <v>14</v>
      </c>
      <c s="760">
        <v>17</v>
      </c>
      <c s="760">
        <v>17</v>
      </c>
      <c s="760">
        <v>9</v>
      </c>
      <c s="760">
        <v>12</v>
      </c>
      <c s="760">
        <v>9</v>
      </c>
      <c s="760">
        <v>21</v>
      </c>
      <c s="760">
        <v>12</v>
      </c>
      <c s="760">
        <v>3</v>
      </c>
      <c s="760">
        <v>6</v>
      </c>
      <c s="760">
        <v>38</v>
      </c>
      <c s="760">
        <v>15</v>
      </c>
      <c s="1127">
        <v>0</v>
      </c>
      <c s="760">
        <v>0</v>
      </c>
      <c s="760">
        <v>16</v>
      </c>
      <c s="760">
        <v>16</v>
      </c>
      <c s="1146">
        <v>16</v>
      </c>
      <c s="1139">
        <v>0</v>
      </c>
      <c s="760">
        <v>0</v>
      </c>
      <c s="760">
        <v>0</v>
      </c>
      <c s="760">
        <v>8</v>
      </c>
      <c s="760">
        <v>8</v>
      </c>
      <c s="760">
        <v>8</v>
      </c>
      <c s="760">
        <v>8</v>
      </c>
      <c s="760">
        <v>8</v>
      </c>
      <c s="760">
        <v>8</v>
      </c>
      <c s="760">
        <v>8</v>
      </c>
      <c s="760">
        <v>8</v>
      </c>
      <c s="760">
        <v>8</v>
      </c>
      <c s="760">
        <v>8</v>
      </c>
      <c s="760">
        <v>8</v>
      </c>
      <c s="760">
        <v>8</v>
      </c>
      <c s="760">
        <v>8</v>
      </c>
      <c s="760">
        <v>8</v>
      </c>
      <c s="760">
        <v>8</v>
      </c>
      <c s="760">
        <v>8</v>
      </c>
      <c s="760">
        <v>8</v>
      </c>
      <c s="760">
        <v>8</v>
      </c>
      <c s="760">
        <v>8</v>
      </c>
      <c s="760">
        <v>8</v>
      </c>
      <c s="760">
        <v>8</v>
      </c>
      <c s="76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EBE67BA-41C9-3005-E39C-0.5F90CCC1}"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8" hidden="1" customWidth="1"/>
    <col min="4" max="4" width="4.14285714285714" style="1368" hidden="1" customWidth="1"/>
    <col min="5" max="5" width="3" style="1637" customWidth="1"/>
    <col min="6" max="6" width="6" style="1637" customWidth="1"/>
    <col min="7" max="7" width="60" style="1637" customWidth="1"/>
    <col min="8" max="9" width="21.7142857142857" style="1637" hidden="1" customWidth="1"/>
    <col min="10" max="10" width="0.142857142857143" style="1637" customWidth="1"/>
    <col min="11" max="11" width="1" style="1637" customWidth="1"/>
    <col min="12" max="22" width="8" style="1637" customWidth="1"/>
    <col min="23" max="23" width="9.14285714285714" style="1637" hidden="1"/>
  </cols>
  <sheetData>
    <row r="1" spans="1:23" s="1368" customFormat="1" ht="10.5" customHeight="1" hidden="1">
      <c r="A1" s="1168"/>
      <c s="1168"/>
      <c s="1168"/>
      <c r="E1" s="539"/>
      <c r="W1" s="1162" t="s">
        <v>14</v>
      </c>
    </row>
    <row r="2" spans="23:23" ht="10.5" customHeight="1" hidden="1">
      <c r="W2" s="1157">
        <v>0</v>
      </c>
    </row>
    <row r="3" spans="1:23" s="1634" customFormat="1" ht="10.5" customHeight="1" hidden="1">
      <c r="A3" s="1168"/>
      <c s="1168"/>
      <c s="1168"/>
      <c s="1162"/>
      <c s="364"/>
      <c r="W3" s="1158">
        <v>0</v>
      </c>
    </row>
    <row r="4" spans="23:23" ht="3" customHeight="1">
      <c r="W4" s="1157">
        <v>3</v>
      </c>
    </row>
    <row r="5" spans="6:23" ht="27.3" customHeight="1">
      <c r="F5" s="2250" t="str">
        <f>IP_NAME_FORM&amp;"
Финансовый план"</f>
        <v>Форма 7. Информация об инвестиционных программах организации водоотведения и отчетах об их исполнении
Финансовый план</v>
      </c>
      <c s="2250"/>
      <c s="2250"/>
      <c s="2250"/>
      <c s="2250"/>
      <c r="W5" s="1157">
        <v>26</v>
      </c>
    </row>
    <row r="6" spans="6:23" ht="10.5" customHeight="1">
      <c r="F6" s="2178" t="str">
        <f>IF(org=0,"Не определено",org)</f>
        <v>ГУП КК "Кубаньводкомплекс"</v>
      </c>
      <c s="2178"/>
      <c s="2178"/>
      <c s="2178"/>
      <c s="2178"/>
      <c r="W6" s="1157">
        <v>10</v>
      </c>
    </row>
    <row r="7" spans="5:23" ht="11.55" customHeight="1">
      <c r="E7" s="1172"/>
      <c s="1229"/>
      <c s="1229"/>
      <c s="1229"/>
      <c s="1229"/>
      <c s="1229"/>
      <c s="1159"/>
      <c s="1159"/>
      <c s="1159"/>
      <c s="1159"/>
      <c s="1159"/>
      <c s="1159"/>
      <c s="1159"/>
      <c s="1159"/>
      <c s="1159"/>
      <c s="1159"/>
      <c s="1159"/>
      <c s="1159"/>
      <c s="1157">
        <v>11</v>
      </c>
    </row>
    <row r="8" spans="1:23" s="1644" customFormat="1" ht="4.2" customHeight="1">
      <c r="A8" s="1169"/>
      <c s="1169"/>
      <c s="1169"/>
      <c r="E8" s="1230"/>
      <c s="1231"/>
      <c s="1231"/>
      <c s="1231"/>
      <c s="1231"/>
      <c s="1231"/>
      <c s="1230"/>
      <c s="1230"/>
      <c s="1230"/>
      <c s="1230"/>
      <c s="1230"/>
      <c s="1230"/>
      <c s="1230"/>
      <c s="1230"/>
      <c s="1230"/>
      <c s="1230"/>
      <c s="1230"/>
      <c s="1230"/>
      <c s="513">
        <v>4</v>
      </c>
    </row>
    <row r="9" spans="5:23" ht="10.5" customHeight="1">
      <c r="E9" s="1172"/>
      <c s="2421" t="s">
        <v>300</v>
      </c>
      <c s="2422"/>
      <c s="2422"/>
      <c s="2422"/>
      <c s="2422"/>
      <c s="1242"/>
      <c s="1159"/>
      <c s="1159"/>
      <c s="1159"/>
      <c s="1159"/>
      <c s="1159"/>
      <c s="1159"/>
      <c s="1159"/>
      <c s="1159"/>
      <c s="1159"/>
      <c s="1159"/>
      <c s="1159"/>
      <c s="1157">
        <v>10</v>
      </c>
    </row>
    <row r="10" spans="5:23" ht="25.2" customHeight="1">
      <c r="E10" s="1159"/>
      <c s="2425" t="s">
        <v>87</v>
      </c>
      <c s="2430" t="s">
        <v>1016</v>
      </c>
      <c s="2428" t="s">
        <v>1017</v>
      </c>
      <c s="2428"/>
      <c s="2428"/>
      <c s="1235"/>
      <c s="1159"/>
      <c s="1159"/>
      <c s="1159"/>
      <c s="1159"/>
      <c s="1159"/>
      <c s="1159"/>
      <c s="1159"/>
      <c s="1159"/>
      <c s="1159"/>
      <c s="1159"/>
      <c s="1159"/>
      <c s="1157">
        <v>24</v>
      </c>
    </row>
    <row r="11" spans="5:23" ht="25.5" customHeight="1">
      <c r="E11" s="1159"/>
      <c s="2426"/>
      <c s="2430"/>
      <c s="2429">
        <f>INDEX(IP_MAIN_LIST_NAME_IP,MATCH(H8,IP_MAIN_LIST_IP_ID,0))&amp;" ("&amp;INDEX(IP_MAIN_START_DATE,MATCH(H8,IP_MAIN_LIST_IP_ID,0))&amp;"-"&amp;INDEX(IP_MAIN_END_DATE,MATCH(H8,IP_MAIN_LIST_IP_ID,0))&amp;")"</f>
      </c>
      <c s="2429"/>
      <c s="2429"/>
      <c s="1235"/>
      <c s="1159"/>
      <c s="1159"/>
      <c s="1159"/>
      <c s="1159"/>
      <c s="1159"/>
      <c s="1159"/>
      <c s="1159"/>
      <c s="1159"/>
      <c s="1159"/>
      <c s="1159"/>
      <c s="1159"/>
      <c s="1157">
        <v>24</v>
      </c>
    </row>
    <row r="12" spans="6:23" ht="10.5" customHeight="1">
      <c r="F12" s="2427"/>
      <c s="2430"/>
      <c s="1228" t="s">
        <v>1018</v>
      </c>
      <c s="1234"/>
      <c s="1228"/>
      <c s="1236"/>
      <c r="W12" s="1157">
        <v>10</v>
      </c>
    </row>
    <row r="13" spans="6:23" ht="10.5" customHeight="1" hidden="1">
      <c r="F13" s="1228">
        <v>1</v>
      </c>
      <c s="1228">
        <v>2</v>
      </c>
      <c s="1228">
        <v>3</v>
      </c>
      <c s="1228">
        <v>4</v>
      </c>
      <c s="1228">
        <v>5</v>
      </c>
      <c s="1236"/>
      <c r="W13" s="1157">
        <v>0</v>
      </c>
    </row>
    <row r="14" spans="6:23" ht="11.55" customHeight="1">
      <c r="F14" s="1227" t="s">
        <v>1019</v>
      </c>
      <c s="2423" t="s">
        <v>1020</v>
      </c>
      <c s="2423"/>
      <c s="2423"/>
      <c s="2423"/>
      <c s="1236"/>
      <c r="W14" s="1157">
        <v>11</v>
      </c>
    </row>
    <row r="15" spans="6:23" ht="11.55" customHeight="1">
      <c r="F15" s="1232">
        <v>1</v>
      </c>
      <c s="692" t="s">
        <v>1021</v>
      </c>
      <c s="1238">
        <f>SUM(I15:J15)</f>
        <v>0</v>
      </c>
      <c s="1238">
        <f>SUM(I16:I27)</f>
        <v>0</v>
      </c>
      <c s="1227"/>
      <c s="1236"/>
      <c r="W15" s="1157">
        <v>11</v>
      </c>
    </row>
    <row r="16" spans="6:23" ht="24" customHeight="1">
      <c r="F16" s="1232" t="s">
        <v>1022</v>
      </c>
      <c s="1239" t="s">
        <v>1023</v>
      </c>
      <c s="1238">
        <f>SUM(I16:J16)</f>
        <v>0</v>
      </c>
      <c s="1237"/>
      <c s="1227"/>
      <c s="1236"/>
      <c r="W16" s="1157">
        <v>23</v>
      </c>
    </row>
    <row r="17" spans="6:23" ht="24" customHeight="1">
      <c r="F17" s="1232" t="s">
        <v>1024</v>
      </c>
      <c s="1239" t="s">
        <v>1025</v>
      </c>
      <c s="1238">
        <f>SUM(I17:J17)</f>
        <v>0</v>
      </c>
      <c s="1237"/>
      <c s="1227"/>
      <c s="1236"/>
      <c r="W17" s="1157">
        <v>23</v>
      </c>
    </row>
    <row r="18" spans="6:23" ht="35.7" customHeight="1">
      <c r="F18" s="1232" t="s">
        <v>1026</v>
      </c>
      <c s="1239" t="s">
        <v>1027</v>
      </c>
      <c s="1238">
        <f>SUM(I18:J18)</f>
        <v>0</v>
      </c>
      <c s="1237"/>
      <c s="1227"/>
      <c s="1236"/>
      <c r="W18" s="1157">
        <v>34</v>
      </c>
    </row>
    <row r="19" spans="6:23" ht="35.7" customHeight="1">
      <c r="F19" s="1232" t="s">
        <v>1028</v>
      </c>
      <c s="1239" t="s">
        <v>1029</v>
      </c>
      <c s="1238">
        <f>SUM(I19:J19)</f>
        <v>0</v>
      </c>
      <c s="1237"/>
      <c s="1227"/>
      <c s="1236"/>
      <c r="W19" s="1157">
        <v>34</v>
      </c>
    </row>
    <row r="20" spans="6:23" ht="48.3" customHeight="1">
      <c r="F20" s="1232" t="s">
        <v>1030</v>
      </c>
      <c s="1239" t="s">
        <v>1031</v>
      </c>
      <c s="1238">
        <f>SUM(I20:J20)</f>
        <v>0</v>
      </c>
      <c s="1237"/>
      <c s="1227"/>
      <c s="1236"/>
      <c r="W20" s="1157">
        <v>46</v>
      </c>
    </row>
    <row r="21" spans="6:23" ht="35.7" customHeight="1">
      <c r="F21" s="1232" t="s">
        <v>1032</v>
      </c>
      <c s="1239" t="s">
        <v>1033</v>
      </c>
      <c s="1238">
        <f>SUM(I21:J21)</f>
        <v>0</v>
      </c>
      <c s="1237"/>
      <c s="1227"/>
      <c s="1236"/>
      <c r="W21" s="1157">
        <v>34</v>
      </c>
    </row>
    <row r="22" spans="6:23" ht="35.7" customHeight="1">
      <c r="F22" s="1232" t="s">
        <v>1034</v>
      </c>
      <c s="1239" t="s">
        <v>1035</v>
      </c>
      <c s="1238">
        <f>SUM(I22:J22)</f>
        <v>0</v>
      </c>
      <c s="1237"/>
      <c s="1227"/>
      <c s="1236"/>
      <c r="W22" s="1157">
        <v>34</v>
      </c>
    </row>
    <row r="23" spans="6:23" ht="24" customHeight="1">
      <c r="F23" s="1232" t="s">
        <v>1036</v>
      </c>
      <c s="1239" t="s">
        <v>1037</v>
      </c>
      <c s="1238">
        <f>SUM(I23:J23)</f>
        <v>0</v>
      </c>
      <c s="1237"/>
      <c s="1227"/>
      <c s="1236"/>
      <c r="W23" s="1157">
        <v>23</v>
      </c>
    </row>
    <row r="24" spans="6:23" ht="24" customHeight="1">
      <c r="F24" s="1232" t="s">
        <v>1038</v>
      </c>
      <c s="1239" t="s">
        <v>1039</v>
      </c>
      <c s="1238">
        <f>SUM(I24:J24)</f>
        <v>0</v>
      </c>
      <c s="1237"/>
      <c s="1227"/>
      <c s="1236"/>
      <c r="W24" s="1157">
        <v>23</v>
      </c>
    </row>
    <row r="25" spans="6:23" ht="35.7" customHeight="1">
      <c r="F25" s="1232" t="s">
        <v>1040</v>
      </c>
      <c s="1239" t="s">
        <v>1041</v>
      </c>
      <c s="1238">
        <f>SUM(I25:J25)</f>
        <v>0</v>
      </c>
      <c s="1237"/>
      <c s="1227"/>
      <c s="1236"/>
      <c r="W25" s="1157">
        <v>34</v>
      </c>
    </row>
    <row r="26" spans="6:23" ht="35.7" customHeight="1">
      <c r="F26" s="1232" t="s">
        <v>1042</v>
      </c>
      <c s="1239" t="s">
        <v>1043</v>
      </c>
      <c s="1238">
        <f>SUM(I26:J26)</f>
        <v>0</v>
      </c>
      <c s="1237"/>
      <c s="1227"/>
      <c s="1236"/>
      <c r="W26" s="1157">
        <v>34</v>
      </c>
    </row>
    <row r="27" spans="6:23" ht="11.55" customHeight="1">
      <c r="F27" s="1232" t="s">
        <v>1044</v>
      </c>
      <c s="1239" t="s">
        <v>1045</v>
      </c>
      <c s="1238">
        <f>SUM(I27:J27)</f>
        <v>0</v>
      </c>
      <c s="1237"/>
      <c s="1227"/>
      <c s="1236"/>
      <c r="W27" s="1157">
        <v>11</v>
      </c>
    </row>
    <row r="28" spans="6:23" ht="11.55" customHeight="1">
      <c r="F28" s="1232">
        <v>2</v>
      </c>
      <c s="692" t="s">
        <v>1046</v>
      </c>
      <c s="1238">
        <f>SUM(I28:J28)</f>
        <v>0</v>
      </c>
      <c s="1238">
        <f>SUM(I29:I31)</f>
        <v>0</v>
      </c>
      <c s="1227"/>
      <c s="1236"/>
      <c r="W28" s="1157">
        <v>11</v>
      </c>
    </row>
    <row r="29" spans="6:23" ht="11.55" customHeight="1">
      <c r="F29" s="1232" t="s">
        <v>709</v>
      </c>
      <c s="1239" t="s">
        <v>1047</v>
      </c>
      <c s="1238">
        <f>SUM(I29:J29)</f>
        <v>0</v>
      </c>
      <c s="1237"/>
      <c s="1227"/>
      <c s="1236"/>
      <c r="W29" s="1157">
        <v>11</v>
      </c>
    </row>
    <row r="30" spans="6:23" ht="11.55" customHeight="1">
      <c r="F30" s="1232" t="s">
        <v>307</v>
      </c>
      <c s="1239" t="s">
        <v>1048</v>
      </c>
      <c s="1238">
        <f>SUM(I30:J30)</f>
        <v>0</v>
      </c>
      <c s="1237"/>
      <c s="1227"/>
      <c s="1236"/>
      <c r="W30" s="1157">
        <v>11</v>
      </c>
    </row>
    <row r="31" spans="6:23" ht="11.55" customHeight="1">
      <c r="F31" s="1232" t="s">
        <v>310</v>
      </c>
      <c s="1239" t="s">
        <v>1049</v>
      </c>
      <c s="1238">
        <f>SUM(I31:J31)</f>
        <v>0</v>
      </c>
      <c s="1237"/>
      <c s="1227"/>
      <c s="1236"/>
      <c r="W31" s="1157">
        <v>11</v>
      </c>
    </row>
    <row r="32" spans="6:23" ht="11.55" customHeight="1">
      <c r="F32" s="1232">
        <v>3</v>
      </c>
      <c s="692" t="s">
        <v>1050</v>
      </c>
      <c s="1238">
        <f>SUM(I32:J32)</f>
        <v>0</v>
      </c>
      <c s="1238">
        <f>SUM(I33:I34)</f>
        <v>0</v>
      </c>
      <c s="1227"/>
      <c s="1236"/>
      <c r="W32" s="1157">
        <v>11</v>
      </c>
    </row>
    <row r="33" spans="6:23" ht="48.3" customHeight="1">
      <c r="F33" s="1232" t="s">
        <v>324</v>
      </c>
      <c s="1239" t="s">
        <v>1051</v>
      </c>
      <c s="1238">
        <f>SUM(I33:J33)</f>
        <v>0</v>
      </c>
      <c s="1237"/>
      <c s="1227"/>
      <c s="1236"/>
      <c r="W33" s="1157">
        <v>46</v>
      </c>
    </row>
    <row r="34" spans="6:23" ht="11.55" customHeight="1">
      <c r="F34" s="1232" t="s">
        <v>332</v>
      </c>
      <c s="1239" t="s">
        <v>1052</v>
      </c>
      <c s="1238">
        <f>SUM(I34:J34)</f>
        <v>0</v>
      </c>
      <c s="1237"/>
      <c s="1227"/>
      <c s="1236"/>
      <c r="W34" s="1157">
        <v>11</v>
      </c>
    </row>
    <row r="35" spans="6:23" ht="11.55" customHeight="1">
      <c r="F35" s="1232">
        <v>4</v>
      </c>
      <c s="692" t="s">
        <v>1053</v>
      </c>
      <c s="1238">
        <f>SUM(I35:J35)</f>
        <v>0</v>
      </c>
      <c s="1237"/>
      <c s="1227"/>
      <c s="1236"/>
      <c r="W35" s="1157">
        <v>11</v>
      </c>
    </row>
    <row r="36" spans="6:23" ht="11.55" customHeight="1">
      <c r="F36" s="1232"/>
      <c s="695" t="s">
        <v>1054</v>
      </c>
      <c s="1238">
        <f>SUM(I36:J36)</f>
        <v>0</v>
      </c>
      <c s="1238">
        <f>SUM(I15,I28,I32,I35)</f>
        <v>0</v>
      </c>
      <c s="1227"/>
      <c s="1236"/>
      <c r="W36" s="1157">
        <v>11</v>
      </c>
    </row>
    <row r="37" spans="6:23" ht="29.25" customHeight="1">
      <c r="F37" s="1233" t="s">
        <v>1055</v>
      </c>
      <c s="2424" t="s">
        <v>1056</v>
      </c>
      <c s="2424"/>
      <c s="2424"/>
      <c s="2424"/>
      <c s="1236"/>
      <c r="W37" s="1157">
        <v>28</v>
      </c>
    </row>
    <row r="38" spans="6:23" ht="24" customHeight="1">
      <c r="F38" s="1232" t="s">
        <v>109</v>
      </c>
      <c s="692" t="s">
        <v>1057</v>
      </c>
      <c s="1238">
        <f>SUM(I38:J38)</f>
        <v>0</v>
      </c>
      <c s="1238">
        <f>SUM(I39,I44,I47)</f>
        <v>0</v>
      </c>
      <c s="1227"/>
      <c s="1236"/>
      <c r="W38" s="1157">
        <v>23</v>
      </c>
    </row>
    <row r="39" spans="6:23" ht="11.55" customHeight="1">
      <c r="F39" s="1232" t="s">
        <v>1022</v>
      </c>
      <c s="1239" t="s">
        <v>1021</v>
      </c>
      <c s="1238">
        <f>SUM(I39:J39)</f>
        <v>0</v>
      </c>
      <c s="1238">
        <f>SUM(I40:I43)</f>
        <v>0</v>
      </c>
      <c s="1227"/>
      <c s="1236"/>
      <c r="W39" s="1157">
        <v>11</v>
      </c>
    </row>
    <row r="40" spans="6:23" ht="24" customHeight="1">
      <c r="F40" s="1232" t="s">
        <v>1058</v>
      </c>
      <c s="1240" t="s">
        <v>1059</v>
      </c>
      <c s="1238">
        <f>SUM(I40:J40)</f>
        <v>0</v>
      </c>
      <c s="1237"/>
      <c s="1227"/>
      <c s="1236"/>
      <c r="W40" s="1157">
        <v>23</v>
      </c>
    </row>
    <row r="41" spans="6:23" ht="11.55" customHeight="1">
      <c r="F41" s="1232" t="s">
        <v>1060</v>
      </c>
      <c s="1240" t="s">
        <v>1061</v>
      </c>
      <c s="1238">
        <f>SUM(I41:J41)</f>
        <v>0</v>
      </c>
      <c s="1237"/>
      <c s="1227"/>
      <c s="1236"/>
      <c r="W41" s="1157">
        <v>11</v>
      </c>
    </row>
    <row r="42" spans="6:23" ht="11.55" customHeight="1">
      <c r="F42" s="1232" t="s">
        <v>1062</v>
      </c>
      <c s="1240" t="s">
        <v>1063</v>
      </c>
      <c s="1238">
        <f>SUM(I42:J42)</f>
        <v>0</v>
      </c>
      <c s="1237"/>
      <c s="1227"/>
      <c s="1236"/>
      <c r="W42" s="1157">
        <v>11</v>
      </c>
    </row>
    <row r="43" spans="6:23" ht="35.7" customHeight="1">
      <c r="F43" s="1232" t="s">
        <v>1064</v>
      </c>
      <c s="1240" t="s">
        <v>1065</v>
      </c>
      <c s="1238">
        <f>SUM(I43:J43)</f>
        <v>0</v>
      </c>
      <c s="1237"/>
      <c s="1227"/>
      <c s="1236"/>
      <c r="W43" s="1157">
        <v>34</v>
      </c>
    </row>
    <row r="44" spans="6:23" ht="11.55" customHeight="1">
      <c r="F44" s="1232" t="s">
        <v>1024</v>
      </c>
      <c s="1239" t="s">
        <v>1050</v>
      </c>
      <c s="1238">
        <f>SUM(I44:J44)</f>
        <v>0</v>
      </c>
      <c s="1238">
        <f>SUM(I45:I46)</f>
        <v>0</v>
      </c>
      <c s="1227"/>
      <c s="1236"/>
      <c r="W44" s="1157">
        <v>11</v>
      </c>
    </row>
    <row r="45" spans="6:23" ht="48.3" customHeight="1">
      <c r="F45" s="1232" t="s">
        <v>1066</v>
      </c>
      <c s="1240" t="s">
        <v>1051</v>
      </c>
      <c s="1238">
        <f>SUM(I45:J45)</f>
        <v>0</v>
      </c>
      <c s="1237"/>
      <c s="1227"/>
      <c s="1236"/>
      <c r="W45" s="1157">
        <v>46</v>
      </c>
    </row>
    <row r="46" spans="6:23" ht="11.55" customHeight="1">
      <c r="F46" s="1232" t="s">
        <v>1067</v>
      </c>
      <c s="1240" t="s">
        <v>1052</v>
      </c>
      <c s="1238">
        <f>SUM(I46:J46)</f>
        <v>0</v>
      </c>
      <c s="1237"/>
      <c s="1227"/>
      <c s="1236"/>
      <c r="W46" s="1157">
        <v>11</v>
      </c>
    </row>
    <row r="47" spans="6:23" ht="11.55" customHeight="1">
      <c r="F47" s="1232" t="s">
        <v>1026</v>
      </c>
      <c s="1239" t="s">
        <v>1068</v>
      </c>
      <c s="1238">
        <f>SUM(I47:J47)</f>
        <v>0</v>
      </c>
      <c s="1237"/>
      <c s="1227"/>
      <c s="1236"/>
      <c r="W47" s="1157">
        <v>11</v>
      </c>
    </row>
    <row r="48" spans="6:23" ht="24" customHeight="1">
      <c r="F48" s="1232" t="s">
        <v>110</v>
      </c>
      <c s="692" t="s">
        <v>1069</v>
      </c>
      <c s="1238">
        <f>SUM(I48:J48)</f>
        <v>0</v>
      </c>
      <c s="1238">
        <f>SUM(I49,I54,I57)</f>
        <v>0</v>
      </c>
      <c s="1227"/>
      <c s="1236"/>
      <c r="W48" s="1157">
        <v>23</v>
      </c>
    </row>
    <row r="49" spans="6:23" ht="11.55" customHeight="1">
      <c r="F49" s="1232" t="s">
        <v>709</v>
      </c>
      <c s="1239" t="s">
        <v>1021</v>
      </c>
      <c s="1238">
        <f>SUM(I49:J49)</f>
        <v>0</v>
      </c>
      <c s="1238">
        <f>SUM(I50:I53)</f>
        <v>0</v>
      </c>
      <c s="1227"/>
      <c s="1236"/>
      <c r="W49" s="1157">
        <v>11</v>
      </c>
    </row>
    <row r="50" spans="6:23" ht="24" customHeight="1">
      <c r="F50" s="1232" t="s">
        <v>712</v>
      </c>
      <c s="1240" t="s">
        <v>1059</v>
      </c>
      <c s="1238">
        <f>SUM(I50:J50)</f>
        <v>0</v>
      </c>
      <c s="1237"/>
      <c s="1227"/>
      <c s="1236"/>
      <c r="W50" s="1157">
        <v>23</v>
      </c>
    </row>
    <row r="51" spans="6:23" ht="11.55" customHeight="1">
      <c r="F51" s="1232" t="s">
        <v>715</v>
      </c>
      <c s="1240" t="s">
        <v>1061</v>
      </c>
      <c s="1238">
        <f>SUM(I51:J51)</f>
        <v>0</v>
      </c>
      <c s="1237"/>
      <c s="1227"/>
      <c s="1236"/>
      <c r="W51" s="1157">
        <v>11</v>
      </c>
    </row>
    <row r="52" spans="6:23" ht="11.55" customHeight="1">
      <c r="F52" s="1232" t="s">
        <v>1070</v>
      </c>
      <c s="1240" t="s">
        <v>1063</v>
      </c>
      <c s="1238">
        <f>SUM(I52:J52)</f>
        <v>0</v>
      </c>
      <c s="1237"/>
      <c s="1227"/>
      <c s="1236"/>
      <c r="W52" s="1157">
        <v>11</v>
      </c>
    </row>
    <row r="53" spans="6:23" ht="35.7" customHeight="1">
      <c r="F53" s="1232" t="s">
        <v>1071</v>
      </c>
      <c s="1240" t="s">
        <v>1065</v>
      </c>
      <c s="1238">
        <f>SUM(I53:J53)</f>
        <v>0</v>
      </c>
      <c s="1237"/>
      <c s="1227"/>
      <c s="1236"/>
      <c r="W53" s="1157">
        <v>34</v>
      </c>
    </row>
    <row r="54" spans="6:23" ht="11.55" customHeight="1">
      <c r="F54" s="1232" t="s">
        <v>307</v>
      </c>
      <c s="1239" t="s">
        <v>1050</v>
      </c>
      <c s="1238">
        <f>SUM(I54:J54)</f>
        <v>0</v>
      </c>
      <c s="1238">
        <f>SUM(I55:I56)</f>
        <v>0</v>
      </c>
      <c s="1227"/>
      <c s="1236"/>
      <c r="W54" s="1157">
        <v>11</v>
      </c>
    </row>
    <row r="55" spans="6:23" ht="48.3" customHeight="1">
      <c r="F55" s="1232" t="s">
        <v>719</v>
      </c>
      <c s="1240" t="s">
        <v>1051</v>
      </c>
      <c s="1238">
        <f>SUM(I55:J55)</f>
        <v>0</v>
      </c>
      <c s="1237"/>
      <c s="1227"/>
      <c s="1236"/>
      <c r="W55" s="1157">
        <v>46</v>
      </c>
    </row>
    <row r="56" spans="6:23" ht="11.55" customHeight="1">
      <c r="F56" s="1232" t="s">
        <v>721</v>
      </c>
      <c s="1240" t="s">
        <v>1052</v>
      </c>
      <c s="1238">
        <f>SUM(I56:J56)</f>
        <v>0</v>
      </c>
      <c s="1237"/>
      <c s="1227"/>
      <c s="1236"/>
      <c r="W56" s="1157">
        <v>11</v>
      </c>
    </row>
    <row r="57" spans="6:23" ht="11.55" customHeight="1">
      <c r="F57" s="1232" t="s">
        <v>310</v>
      </c>
      <c s="1239" t="s">
        <v>1068</v>
      </c>
      <c s="1238">
        <f>SUM(I57:J57)</f>
        <v>0</v>
      </c>
      <c s="1237"/>
      <c s="1227"/>
      <c s="1236"/>
      <c r="W57" s="1157">
        <v>11</v>
      </c>
    </row>
    <row r="58" spans="6:23" ht="11.55" customHeight="1">
      <c r="F58" s="1232"/>
      <c s="1241" t="s">
        <v>1054</v>
      </c>
      <c s="1238">
        <f>SUM(I58:J58)</f>
        <v>0</v>
      </c>
      <c s="1238">
        <f>SUM(I38,I48)</f>
        <v>0</v>
      </c>
      <c s="1227"/>
      <c s="1236"/>
      <c r="W58" s="1157">
        <v>11</v>
      </c>
    </row>
    <row r="59" spans="1:23" ht="10.5" customHeight="1" hidden="1">
      <c r="A59" s="1168" t="s">
        <v>81</v>
      </c>
      <c s="1168">
        <v>0</v>
      </c>
      <c s="1168">
        <v>0</v>
      </c>
      <c s="1162">
        <v>0</v>
      </c>
      <c s="511">
        <v>3</v>
      </c>
      <c s="1157">
        <v>6</v>
      </c>
      <c s="1157">
        <v>60</v>
      </c>
      <c s="1157">
        <v>0</v>
      </c>
      <c s="1157">
        <v>0</v>
      </c>
      <c s="1157">
        <v>0</v>
      </c>
      <c s="1157">
        <v>1</v>
      </c>
      <c s="1157">
        <v>8</v>
      </c>
      <c s="1157">
        <v>8</v>
      </c>
      <c s="1157">
        <v>8</v>
      </c>
      <c s="1157">
        <v>8</v>
      </c>
      <c s="1157">
        <v>8</v>
      </c>
      <c s="1157">
        <v>8</v>
      </c>
      <c s="1157">
        <v>8</v>
      </c>
      <c s="1157">
        <v>8</v>
      </c>
      <c s="1157">
        <v>8</v>
      </c>
      <c s="1157">
        <v>8</v>
      </c>
      <c s="1157">
        <v>8</v>
      </c>
      <c s="1157">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9D082F8-41FC-C929-B793-0.F23DF82F}"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5" hidden="1" customWidth="1"/>
    <col min="2" max="2" width="4.71428571428571" style="938" hidden="1" customWidth="1"/>
    <col min="3" max="4" width="4.71428571428571" style="1065" hidden="1" customWidth="1"/>
    <col min="5" max="5" width="3" style="1065" customWidth="1"/>
    <col min="6" max="6" width="6" style="1065" customWidth="1"/>
    <col min="7" max="7" width="18" style="1065" customWidth="1"/>
    <col min="8" max="8" width="27" style="1065" customWidth="1"/>
    <col min="9" max="9" width="18" style="1065" customWidth="1"/>
    <col min="10" max="14" width="0.857142857142857" style="1065" hidden="1" customWidth="1"/>
    <col min="15" max="28" width="21.7142857142857" style="1065" hidden="1" customWidth="1"/>
    <col min="29" max="71" width="0.857142857142857" style="1065" hidden="1" customWidth="1"/>
    <col min="72" max="79" width="21.7142857142857" style="1065" hidden="1" customWidth="1"/>
    <col min="80" max="81" width="29.1428571428571" style="1065" hidden="1" customWidth="1"/>
    <col min="82" max="89" width="21.7142857142857" style="1065" hidden="1" customWidth="1"/>
    <col min="90" max="102" width="0.714285714285714" style="1065" hidden="1" customWidth="1"/>
    <col min="103" max="114" width="21.7142857142857" style="1065" customWidth="1"/>
    <col min="115" max="128" width="0.714285714285714" style="1065" customWidth="1"/>
    <col min="129" max="178" width="0.714285714285714" style="1065" hidden="1" customWidth="1"/>
    <col min="179" max="179" width="0.142857142857143" style="1065" customWidth="1"/>
    <col min="180" max="184" width="8" style="1065" customWidth="1"/>
    <col min="185" max="185" width="9.14285714285714" style="1065" hidden="1"/>
  </cols>
  <sheetData>
    <row r="1" spans="2:4 185:185" s="927" customFormat="1" ht="12" customHeight="1" hidden="1">
      <c r="B1" s="925"/>
      <c s="926"/>
      <c s="926"/>
      <c r="GC1" s="924" t="s">
        <v>14</v>
      </c>
    </row>
    <row r="2" spans="2:185" s="927" customFormat="1" ht="12" customHeight="1" hidden="1">
      <c r="B2" s="925"/>
      <c s="926"/>
      <c s="926"/>
      <c s="926"/>
      <c s="926"/>
      <c s="926"/>
      <c s="926"/>
      <c s="926"/>
      <c s="926"/>
      <c s="926"/>
      <c s="926"/>
      <c s="926"/>
      <c s="926"/>
      <c s="926"/>
      <c s="926"/>
      <c s="926"/>
      <c s="926"/>
      <c s="926"/>
      <c s="926"/>
      <c s="926"/>
      <c s="926"/>
      <c s="926"/>
      <c s="926"/>
      <c s="926"/>
      <c s="926"/>
      <c s="926"/>
      <c s="927"/>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r="GC2" s="924">
        <v>0</v>
      </c>
    </row>
    <row r="3" spans="2:185" s="927" customFormat="1" ht="12" customHeight="1" hidden="1">
      <c r="B3" s="925"/>
      <c s="926"/>
      <c s="926"/>
      <c s="926"/>
      <c s="926"/>
      <c s="926"/>
      <c s="926"/>
      <c s="926"/>
      <c s="926"/>
      <c s="926"/>
      <c s="926"/>
      <c s="926"/>
      <c s="926"/>
      <c s="926"/>
      <c s="926"/>
      <c s="926"/>
      <c s="926"/>
      <c s="926"/>
      <c s="926"/>
      <c s="926"/>
      <c s="926"/>
      <c s="926"/>
      <c s="926"/>
      <c s="926"/>
      <c s="926"/>
      <c s="926"/>
      <c s="927"/>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r="GC3" s="924">
        <v>0</v>
      </c>
    </row>
    <row r="4" spans="2:185" ht="10.5" customHeight="1">
      <c r="B4" s="929"/>
      <c s="930"/>
      <c s="930"/>
      <c s="930"/>
      <c s="930"/>
      <c s="930"/>
      <c s="931"/>
      <c s="931"/>
      <c s="931"/>
      <c s="931"/>
      <c s="931"/>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r="GC4" s="928">
        <v>10</v>
      </c>
    </row>
    <row r="5" spans="2:71 185:185" s="1875" customFormat="1" ht="27.3" customHeight="1">
      <c r="B5" s="1874"/>
      <c r="E5" s="1876"/>
      <c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r="GC5" s="1875">
        <v>26</v>
      </c>
    </row>
    <row r="6" spans="2:71 185:185" s="2140" customFormat="1" ht="18.75" customHeight="1">
      <c r="B6" s="945"/>
      <c r="E6" s="947"/>
      <c s="2216" t="str">
        <f>IF(org=0,"Не определено",org)</f>
        <v>ГУП КК "Кубаньводкомплекс"</v>
      </c>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r="GC6" s="946">
        <v>18</v>
      </c>
    </row>
    <row r="7" spans="2:185" s="935" customFormat="1" ht="10.5" customHeight="1">
      <c r="B7" s="934"/>
      <c r="E7" s="935"/>
      <c s="935"/>
      <c s="937"/>
      <c s="931"/>
      <c s="931"/>
      <c s="931"/>
      <c s="931"/>
      <c s="931"/>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r="GC7" s="933">
        <v>10</v>
      </c>
    </row>
    <row r="8" spans="2:185" s="935" customFormat="1" ht="11.25" customHeight="1" hidden="1">
      <c r="B8" s="936"/>
      <c r="F8" s="1058"/>
      <c s="765"/>
      <c s="362"/>
      <c s="362"/>
      <c s="362"/>
      <c s="362"/>
      <c s="362"/>
      <c s="1058"/>
      <c s="1058"/>
      <c s="2452" t="s">
        <v>1072</v>
      </c>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4"/>
      <c s="2441"/>
      <c s="2442"/>
      <c s="2442"/>
      <c s="2442"/>
      <c s="2442"/>
      <c s="2442"/>
      <c s="2442"/>
      <c s="2442"/>
      <c s="2442"/>
      <c s="2442"/>
      <c s="2442"/>
      <c s="2442"/>
      <c s="2442"/>
      <c s="2442"/>
      <c s="2442"/>
      <c s="2442"/>
      <c s="2442"/>
      <c s="2442"/>
      <c s="2442"/>
      <c s="2442"/>
      <c s="2442"/>
      <c s="2442"/>
      <c s="2442"/>
      <c s="2442"/>
      <c s="2442"/>
      <c s="2442"/>
      <c s="2442"/>
      <c s="2442"/>
      <c s="2442"/>
      <c s="2442"/>
      <c s="2443"/>
      <c s="2444"/>
      <c s="2445"/>
      <c s="2445"/>
      <c s="2445"/>
      <c s="2445"/>
      <c s="2445"/>
      <c s="2445"/>
      <c s="2445"/>
      <c s="2445"/>
      <c s="2445"/>
      <c s="2445"/>
      <c s="2445"/>
      <c s="2445"/>
      <c s="2445"/>
      <c s="2445"/>
      <c s="2445"/>
      <c s="2445"/>
      <c s="2445"/>
      <c s="2445"/>
      <c s="2445"/>
      <c s="2445"/>
      <c s="2445"/>
      <c s="2445"/>
      <c s="2445"/>
      <c s="2445"/>
      <c s="2446"/>
      <c s="2447" t="s">
        <v>1073</v>
      </c>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9"/>
      <c s="1058"/>
      <c r="GC8" s="935">
        <v>0</v>
      </c>
    </row>
    <row r="9" spans="2:185" s="935" customFormat="1" ht="11.25" customHeight="1" hidden="1">
      <c r="B9" s="936"/>
      <c r="F9" s="1058"/>
      <c s="765"/>
      <c s="362"/>
      <c s="362"/>
      <c s="362"/>
      <c s="362"/>
      <c s="362"/>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2450"/>
      <c s="1058"/>
      <c r="GC9" s="935">
        <v>0</v>
      </c>
    </row>
    <row r="10" spans="2:185" s="935" customFormat="1" ht="11.55" customHeight="1">
      <c r="B10" s="936"/>
      <c r="F10" s="2431" t="s">
        <v>300</v>
      </c>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3"/>
      <c s="2450"/>
      <c s="1058"/>
      <c r="GC10" s="935">
        <v>11</v>
      </c>
    </row>
    <row r="11" spans="5:185" ht="12.75" customHeight="1">
      <c r="E11" s="939"/>
      <c s="2207" t="s">
        <v>87</v>
      </c>
      <c s="2207" t="s">
        <v>1074</v>
      </c>
      <c s="2439" t="s">
        <v>1075</v>
      </c>
      <c s="2439" t="s">
        <v>1076</v>
      </c>
      <c s="2440"/>
      <c s="2440"/>
      <c s="2440"/>
      <c s="2440"/>
      <c s="2440"/>
      <c s="2211" t="s">
        <v>1077</v>
      </c>
      <c s="2211"/>
      <c s="2211"/>
      <c s="2211"/>
      <c s="2211"/>
      <c s="2211"/>
      <c s="2211"/>
      <c s="2211"/>
      <c s="2211"/>
      <c s="2211"/>
      <c s="2211"/>
      <c s="2211"/>
      <c s="2211"/>
      <c s="2211"/>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1077</v>
      </c>
      <c s="2389"/>
      <c s="2389"/>
      <c s="2389"/>
      <c s="2389"/>
      <c s="2389"/>
      <c s="2389"/>
      <c s="2389"/>
      <c s="2389"/>
      <c s="2389"/>
      <c s="2389"/>
      <c s="2389"/>
      <c s="2389"/>
      <c s="2389"/>
      <c s="2389"/>
      <c s="2389"/>
      <c s="2389"/>
      <c s="2435"/>
      <c s="2438"/>
      <c s="2436"/>
      <c s="2436"/>
      <c s="2436"/>
      <c s="2436"/>
      <c s="2436"/>
      <c s="2436"/>
      <c s="2436"/>
      <c s="2436"/>
      <c s="2436"/>
      <c s="2436"/>
      <c s="2436"/>
      <c s="2455"/>
      <c s="2388" t="s">
        <v>1077</v>
      </c>
      <c s="2389"/>
      <c s="2389"/>
      <c s="2389"/>
      <c s="2389"/>
      <c s="2389"/>
      <c s="2389"/>
      <c s="2389"/>
      <c s="2389"/>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1" s="928">
        <v>12</v>
      </c>
    </row>
    <row r="12" spans="4:185" ht="12.75" customHeight="1">
      <c r="D12" s="940"/>
      <c s="939"/>
      <c s="2207"/>
      <c s="2207"/>
      <c s="2439"/>
      <c s="2439"/>
      <c s="2440"/>
      <c s="2440"/>
      <c s="2440"/>
      <c s="2440"/>
      <c s="2440"/>
      <c s="2211" t="s">
        <v>1078</v>
      </c>
      <c s="2211"/>
      <c s="2211"/>
      <c s="2211"/>
      <c s="2211" t="s">
        <v>1079</v>
      </c>
      <c s="2211"/>
      <c s="2211"/>
      <c s="2211"/>
      <c s="2211"/>
      <c s="2211"/>
      <c s="2211"/>
      <c s="2211"/>
      <c s="2211"/>
      <c s="2211"/>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1080</v>
      </c>
      <c s="2389"/>
      <c s="2389"/>
      <c s="2435"/>
      <c s="2388" t="s">
        <v>1081</v>
      </c>
      <c s="2389"/>
      <c s="2389"/>
      <c s="2435"/>
      <c s="2388" t="s">
        <v>1082</v>
      </c>
      <c s="2435"/>
      <c s="2388" t="s">
        <v>1083</v>
      </c>
      <c s="2389"/>
      <c s="2389"/>
      <c s="2389"/>
      <c s="2389"/>
      <c s="2389"/>
      <c s="2389"/>
      <c s="2435"/>
      <c s="2438"/>
      <c s="2436"/>
      <c s="2436"/>
      <c s="2436"/>
      <c s="2436"/>
      <c s="2436"/>
      <c s="2436"/>
      <c s="2436"/>
      <c s="2436"/>
      <c s="2436"/>
      <c s="2436"/>
      <c s="2436"/>
      <c s="2455"/>
      <c s="2388" t="s">
        <v>1084</v>
      </c>
      <c s="2389"/>
      <c s="2389"/>
      <c s="2389"/>
      <c s="2389"/>
      <c s="2435"/>
      <c s="2388" t="s">
        <v>1085</v>
      </c>
      <c s="2435"/>
      <c s="2388" t="s">
        <v>1083</v>
      </c>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2" s="928">
        <v>12</v>
      </c>
    </row>
    <row r="13" spans="4:185" ht="37.8" customHeight="1">
      <c r="D13" s="940"/>
      <c s="939"/>
      <c s="2207"/>
      <c s="2207"/>
      <c s="2439"/>
      <c s="2439"/>
      <c s="2440"/>
      <c s="2440"/>
      <c s="2440"/>
      <c s="2440"/>
      <c s="2440"/>
      <c s="2211" t="s">
        <v>1086</v>
      </c>
      <c s="2211"/>
      <c s="2211"/>
      <c s="2211"/>
      <c s="2338" t="s">
        <v>1087</v>
      </c>
      <c s="2390"/>
      <c s="2129" t="s">
        <v>1088</v>
      </c>
      <c s="2129"/>
      <c s="2129"/>
      <c s="2129"/>
      <c s="2129" t="s">
        <v>1089</v>
      </c>
      <c s="2129"/>
      <c s="2129"/>
      <c s="2129"/>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38" t="s">
        <v>1090</v>
      </c>
      <c s="2390"/>
      <c s="2338" t="s">
        <v>1091</v>
      </c>
      <c s="2390"/>
      <c s="2338" t="s">
        <v>1092</v>
      </c>
      <c s="2390"/>
      <c s="2338" t="s">
        <v>1093</v>
      </c>
      <c s="2390"/>
      <c s="2338" t="s">
        <v>1094</v>
      </c>
      <c s="2390"/>
      <c s="2338" t="s">
        <v>1095</v>
      </c>
      <c s="2390"/>
      <c s="2338" t="s">
        <v>1096</v>
      </c>
      <c s="2390"/>
      <c s="2388" t="s">
        <v>1097</v>
      </c>
      <c s="2389"/>
      <c s="2389"/>
      <c s="2435"/>
      <c s="2438"/>
      <c s="2436"/>
      <c s="2436"/>
      <c s="2436"/>
      <c s="2436"/>
      <c s="2436"/>
      <c s="2436"/>
      <c s="2436"/>
      <c s="2436"/>
      <c s="2436"/>
      <c s="2436"/>
      <c s="2436"/>
      <c s="2455"/>
      <c s="2338" t="s">
        <v>1098</v>
      </c>
      <c s="2390"/>
      <c s="2338" t="s">
        <v>1099</v>
      </c>
      <c s="2390"/>
      <c s="2338" t="s">
        <v>1100</v>
      </c>
      <c s="2390"/>
      <c s="2338" t="s">
        <v>1101</v>
      </c>
      <c s="2390"/>
      <c s="2388" t="s">
        <v>1102</v>
      </c>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3" s="928">
        <v>36</v>
      </c>
    </row>
    <row r="14" spans="4:185" ht="37.8" customHeight="1">
      <c r="D14" s="940"/>
      <c s="939"/>
      <c s="2207"/>
      <c s="2207"/>
      <c s="2439"/>
      <c s="2439"/>
      <c s="2440"/>
      <c s="2440"/>
      <c s="2440"/>
      <c s="2440"/>
      <c s="2440"/>
      <c s="2338" t="s">
        <v>1103</v>
      </c>
      <c s="2390"/>
      <c s="2338" t="s">
        <v>1104</v>
      </c>
      <c s="2390"/>
      <c s="2339"/>
      <c s="2215"/>
      <c s="2338" t="s">
        <v>836</v>
      </c>
      <c s="2390"/>
      <c s="2338" t="s">
        <v>839</v>
      </c>
      <c s="2390"/>
      <c s="2338" t="s">
        <v>836</v>
      </c>
      <c s="2390"/>
      <c s="2338" t="s">
        <v>846</v>
      </c>
      <c s="2390"/>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39"/>
      <c s="2215"/>
      <c s="2339"/>
      <c s="2215"/>
      <c s="2339"/>
      <c s="2215"/>
      <c s="2339"/>
      <c s="2215"/>
      <c s="2339"/>
      <c s="2215"/>
      <c s="2339"/>
      <c s="2215"/>
      <c s="2339"/>
      <c s="2215"/>
      <c s="2338" t="s">
        <v>1105</v>
      </c>
      <c s="2390"/>
      <c s="2338" t="s">
        <v>1106</v>
      </c>
      <c s="2390"/>
      <c s="2438"/>
      <c s="2436"/>
      <c s="2436"/>
      <c s="2436"/>
      <c s="2436"/>
      <c s="2436"/>
      <c s="2436"/>
      <c s="2436"/>
      <c s="2436"/>
      <c s="2436"/>
      <c s="2436"/>
      <c s="2436"/>
      <c s="2455"/>
      <c s="2339"/>
      <c s="2215"/>
      <c s="2339"/>
      <c s="2215"/>
      <c s="2339"/>
      <c s="2215"/>
      <c s="2339"/>
      <c s="2215"/>
      <c s="2338" t="s">
        <v>1107</v>
      </c>
      <c s="2390"/>
      <c s="2338" t="s">
        <v>1108</v>
      </c>
      <c s="2390"/>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4" s="928">
        <v>36</v>
      </c>
    </row>
    <row r="15" spans="4:185" ht="37.8" customHeight="1">
      <c r="D15" s="940"/>
      <c s="939"/>
      <c s="2207"/>
      <c s="2207"/>
      <c s="2439"/>
      <c s="2439"/>
      <c s="2440"/>
      <c s="2440"/>
      <c s="2440"/>
      <c s="2440"/>
      <c s="2440"/>
      <c s="2340"/>
      <c s="2437"/>
      <c s="2340"/>
      <c s="2437"/>
      <c s="2340"/>
      <c s="2437"/>
      <c s="2340"/>
      <c s="2437"/>
      <c s="2340"/>
      <c s="2437"/>
      <c s="2340"/>
      <c s="2437"/>
      <c s="2340"/>
      <c s="2437"/>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40"/>
      <c s="2437"/>
      <c s="2340"/>
      <c s="2437"/>
      <c s="2340"/>
      <c s="2437"/>
      <c s="2340"/>
      <c s="2437"/>
      <c s="2340"/>
      <c s="2437"/>
      <c s="2340"/>
      <c s="2437"/>
      <c s="2340"/>
      <c s="2437"/>
      <c s="2340"/>
      <c s="2437"/>
      <c s="2340"/>
      <c s="2437"/>
      <c s="2438"/>
      <c s="2436"/>
      <c s="2436"/>
      <c s="2436"/>
      <c s="2436"/>
      <c s="2436"/>
      <c s="2436"/>
      <c s="2436"/>
      <c s="2436"/>
      <c s="2436"/>
      <c s="2436"/>
      <c s="2436"/>
      <c s="2455"/>
      <c s="2340"/>
      <c s="2437"/>
      <c s="2340"/>
      <c s="2437"/>
      <c s="2340"/>
      <c s="2437"/>
      <c s="2340"/>
      <c s="2437"/>
      <c s="2340"/>
      <c s="2437"/>
      <c s="2340"/>
      <c s="2437"/>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5" s="928">
        <v>36</v>
      </c>
    </row>
    <row r="16" spans="4:185" ht="12.75" customHeight="1">
      <c r="D16" s="940"/>
      <c s="939"/>
      <c s="2207"/>
      <c s="2207"/>
      <c s="2439"/>
      <c s="2439"/>
      <c s="2440"/>
      <c s="2440"/>
      <c s="2440"/>
      <c s="2440"/>
      <c s="2440"/>
      <c s="2388" t="s">
        <v>826</v>
      </c>
      <c s="2435"/>
      <c s="2388" t="s">
        <v>828</v>
      </c>
      <c s="2435"/>
      <c s="2388" t="s">
        <v>832</v>
      </c>
      <c s="2435"/>
      <c s="2388" t="s">
        <v>837</v>
      </c>
      <c s="2435"/>
      <c s="2388" t="s">
        <v>840</v>
      </c>
      <c s="2435"/>
      <c s="2388" t="s">
        <v>844</v>
      </c>
      <c s="2435"/>
      <c s="2388" t="s">
        <v>847</v>
      </c>
      <c s="2435"/>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558</v>
      </c>
      <c s="2435"/>
      <c s="2388" t="s">
        <v>558</v>
      </c>
      <c s="2435"/>
      <c s="2388" t="s">
        <v>558</v>
      </c>
      <c s="2435"/>
      <c s="2388" t="s">
        <v>558</v>
      </c>
      <c s="2435"/>
      <c s="2388" t="s">
        <v>1109</v>
      </c>
      <c s="2435"/>
      <c s="2388" t="s">
        <v>558</v>
      </c>
      <c s="2435"/>
      <c s="2388" t="s">
        <v>1110</v>
      </c>
      <c s="2435"/>
      <c s="2388" t="s">
        <v>1111</v>
      </c>
      <c s="2435"/>
      <c s="2388" t="s">
        <v>1111</v>
      </c>
      <c s="2435"/>
      <c s="2438"/>
      <c s="2436"/>
      <c s="2436"/>
      <c s="2436"/>
      <c s="2436"/>
      <c s="2436"/>
      <c s="2436"/>
      <c s="2436"/>
      <c s="2436"/>
      <c s="2436"/>
      <c s="2436"/>
      <c s="2436"/>
      <c s="2455"/>
      <c s="2338" t="s">
        <v>558</v>
      </c>
      <c s="2390"/>
      <c s="2338" t="s">
        <v>558</v>
      </c>
      <c s="2390"/>
      <c s="2338" t="s">
        <v>558</v>
      </c>
      <c s="2390"/>
      <c s="2388" t="s">
        <v>1109</v>
      </c>
      <c s="2435"/>
      <c s="2388" t="s">
        <v>1112</v>
      </c>
      <c s="2435"/>
      <c s="2388" t="s">
        <v>1112</v>
      </c>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6" s="928">
        <v>12</v>
      </c>
    </row>
    <row r="17" spans="5:185" ht="15.75" customHeight="1">
      <c r="E17" s="939"/>
      <c s="2207"/>
      <c s="2207"/>
      <c s="2439"/>
      <c s="2439"/>
      <c s="2440"/>
      <c s="2440"/>
      <c s="2440"/>
      <c s="2440"/>
      <c s="2440"/>
      <c s="1193" t="s">
        <v>1113</v>
      </c>
      <c s="1193" t="s">
        <v>1114</v>
      </c>
      <c s="1193" t="s">
        <v>1113</v>
      </c>
      <c s="1193" t="s">
        <v>1114</v>
      </c>
      <c s="1193" t="s">
        <v>1113</v>
      </c>
      <c s="1193" t="s">
        <v>1114</v>
      </c>
      <c s="1193" t="s">
        <v>1113</v>
      </c>
      <c s="1193" t="s">
        <v>1114</v>
      </c>
      <c s="1193" t="s">
        <v>1113</v>
      </c>
      <c s="1193" t="s">
        <v>1114</v>
      </c>
      <c s="1193" t="s">
        <v>1113</v>
      </c>
      <c s="1193" t="s">
        <v>1114</v>
      </c>
      <c s="1193" t="s">
        <v>1113</v>
      </c>
      <c s="1193" t="s">
        <v>1114</v>
      </c>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1193" t="s">
        <v>1113</v>
      </c>
      <c s="1193" t="s">
        <v>1114</v>
      </c>
      <c s="1193" t="s">
        <v>1113</v>
      </c>
      <c s="1193" t="s">
        <v>1114</v>
      </c>
      <c s="1193" t="s">
        <v>1113</v>
      </c>
      <c s="1193" t="s">
        <v>1114</v>
      </c>
      <c s="1193" t="s">
        <v>1113</v>
      </c>
      <c s="1193" t="s">
        <v>1114</v>
      </c>
      <c s="1193" t="s">
        <v>1113</v>
      </c>
      <c s="1193" t="s">
        <v>1114</v>
      </c>
      <c s="1193" t="s">
        <v>1113</v>
      </c>
      <c s="1193" t="s">
        <v>1114</v>
      </c>
      <c s="1193" t="s">
        <v>1113</v>
      </c>
      <c s="1193" t="s">
        <v>1114</v>
      </c>
      <c s="1193" t="s">
        <v>1113</v>
      </c>
      <c s="1193" t="s">
        <v>1114</v>
      </c>
      <c s="1193" t="s">
        <v>1113</v>
      </c>
      <c s="1193" t="s">
        <v>1114</v>
      </c>
      <c s="2438"/>
      <c s="2436"/>
      <c s="2436"/>
      <c s="2436"/>
      <c s="2436"/>
      <c s="2436"/>
      <c s="2436"/>
      <c s="2436"/>
      <c s="2436"/>
      <c s="2436"/>
      <c s="2436"/>
      <c s="2436"/>
      <c s="2455"/>
      <c s="1193" t="s">
        <v>1113</v>
      </c>
      <c s="1193" t="s">
        <v>1114</v>
      </c>
      <c s="1193" t="s">
        <v>1113</v>
      </c>
      <c s="1193" t="s">
        <v>1114</v>
      </c>
      <c s="1193" t="s">
        <v>1113</v>
      </c>
      <c s="1193" t="s">
        <v>1114</v>
      </c>
      <c s="1193" t="s">
        <v>1113</v>
      </c>
      <c s="1193" t="s">
        <v>1114</v>
      </c>
      <c s="1193" t="s">
        <v>1113</v>
      </c>
      <c s="1193" t="s">
        <v>1114</v>
      </c>
      <c s="1193" t="s">
        <v>1113</v>
      </c>
      <c s="1193" t="s">
        <v>1114</v>
      </c>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1"/>
      <c s="764"/>
      <c r="GC17" s="928">
        <v>15</v>
      </c>
    </row>
    <row r="18" spans="2:185" s="927" customFormat="1" ht="12" customHeight="1" hidden="1">
      <c r="B18" s="925"/>
      <c r="E18" s="941"/>
      <c s="1194"/>
      <c s="1194"/>
      <c s="1194"/>
      <c s="1194"/>
      <c s="1195"/>
      <c s="1195"/>
      <c s="1195"/>
      <c s="1195"/>
      <c s="1195"/>
      <c s="1194"/>
      <c s="1194"/>
      <c s="1194"/>
      <c s="1194"/>
      <c s="1194"/>
      <c s="1194"/>
      <c s="1196"/>
      <c s="1196"/>
      <c s="1196"/>
      <c s="1196"/>
      <c s="1196"/>
      <c s="1196"/>
      <c s="1196"/>
      <c s="1194"/>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7"/>
      <c s="1197"/>
      <c s="1197"/>
      <c s="1197"/>
      <c s="1197"/>
      <c s="1197"/>
      <c s="1197"/>
      <c s="1197"/>
      <c s="1197"/>
      <c s="1197"/>
      <c s="1197"/>
      <c s="1197"/>
      <c s="1197"/>
      <c s="1197"/>
      <c s="1197"/>
      <c s="1197"/>
      <c s="1197"/>
      <c s="1197"/>
      <c s="1195"/>
      <c s="1195"/>
      <c s="1195"/>
      <c s="1195"/>
      <c s="1195"/>
      <c s="1195"/>
      <c s="1195"/>
      <c s="1195"/>
      <c s="1195"/>
      <c s="1195"/>
      <c s="1195"/>
      <c s="1195"/>
      <c s="1195"/>
      <c s="1197"/>
      <c s="1197"/>
      <c s="1197"/>
      <c s="1197"/>
      <c s="1197"/>
      <c s="1197"/>
      <c s="1197"/>
      <c s="1197"/>
      <c s="1197"/>
      <c s="1197"/>
      <c s="1197"/>
      <c s="1197"/>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4"/>
      <c s="1198"/>
      <c r="GC18" s="926">
        <v>0</v>
      </c>
    </row>
    <row r="19" spans="2:185" s="927" customFormat="1" ht="11.25" customHeight="1" hidden="1">
      <c r="B19" s="925"/>
      <c r="E19" s="941"/>
      <c s="1194"/>
      <c s="1194"/>
      <c s="1194"/>
      <c s="1194"/>
      <c s="1194"/>
      <c s="1194"/>
      <c s="1194"/>
      <c s="1194"/>
      <c s="1194"/>
      <c s="1194"/>
      <c s="1194"/>
      <c s="1194"/>
      <c s="1194"/>
      <c s="1194"/>
      <c s="1194"/>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8"/>
      <c r="GC19" s="926">
        <v>0</v>
      </c>
    </row>
    <row r="20" spans="2:185" s="927" customFormat="1" ht="11.25" customHeight="1" hidden="1">
      <c r="B20" s="942"/>
      <c r="D20" s="926"/>
      <c s="941"/>
      <c s="1199" t="s">
        <v>376</v>
      </c>
      <c s="1200"/>
      <c s="1201"/>
      <c s="1201"/>
      <c s="1201"/>
      <c s="1201"/>
      <c s="1201"/>
      <c s="1201"/>
      <c s="1201"/>
      <c s="1200"/>
      <c s="1200"/>
      <c s="1200"/>
      <c s="1200"/>
      <c s="1200"/>
      <c s="1200"/>
      <c s="1202"/>
      <c s="1202"/>
      <c s="1202"/>
      <c s="1202"/>
      <c s="1202"/>
      <c s="1202"/>
      <c s="1202"/>
      <c s="1200"/>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4"/>
      <c r="GC20" s="924">
        <v>0</v>
      </c>
    </row>
    <row r="21" spans="1:185" s="927" customFormat="1" ht="12.75" customHeight="1">
      <c r="A21" s="943"/>
      <c s="943"/>
      <c s="943"/>
      <c s="943"/>
      <c s="943"/>
      <c s="941"/>
      <c s="941"/>
      <c s="941"/>
      <c s="941"/>
      <c s="941"/>
      <c s="941"/>
      <c s="941"/>
      <c s="941"/>
      <c s="941"/>
      <c s="941"/>
      <c s="941"/>
      <c s="941"/>
      <c s="941"/>
      <c s="944"/>
      <c s="944"/>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3"/>
      <c s="943"/>
      <c s="943"/>
      <c s="943"/>
      <c s="943"/>
      <c s="924">
        <v>12</v>
      </c>
    </row>
    <row r="22" spans="1:5 180:185" s="927" customFormat="1" ht="12.75" customHeight="1">
      <c r="A22" s="943"/>
      <c s="943"/>
      <c s="943"/>
      <c s="943"/>
      <c s="943"/>
      <c r="FX22" s="943"/>
      <c s="943"/>
      <c s="943"/>
      <c s="943"/>
      <c s="943"/>
      <c s="924">
        <v>12</v>
      </c>
    </row>
    <row r="23" spans="1:128 180:185" s="1065" customFormat="1" ht="12.75" customHeight="1">
      <c r="A23" s="1064"/>
      <c s="1064"/>
      <c s="1064"/>
      <c s="1064"/>
      <c s="1064"/>
      <c r="O23"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r="FX23" s="1064"/>
      <c s="1064"/>
      <c s="1064"/>
      <c s="1064"/>
      <c s="1064"/>
      <c s="1065">
        <v>12</v>
      </c>
    </row>
    <row r="24" spans="19:28 180:185" ht="12.75" customHeight="1">
      <c r="S24" s="940"/>
      <c s="940"/>
      <c s="940"/>
      <c s="940"/>
      <c s="940"/>
      <c s="940"/>
      <c s="940"/>
      <c s="940"/>
      <c s="940"/>
      <c s="940"/>
      <c r="FX24" s="940"/>
      <c s="940"/>
      <c s="940"/>
      <c s="940"/>
      <c s="940"/>
      <c s="928">
        <v>12</v>
      </c>
    </row>
    <row r="25" spans="1:185" ht="12" customHeight="1" hidden="1">
      <c r="A25" s="928" t="s">
        <v>81</v>
      </c>
      <c s="938">
        <v>0</v>
      </c>
      <c s="928">
        <v>0</v>
      </c>
      <c s="928">
        <v>0</v>
      </c>
      <c s="928">
        <v>3</v>
      </c>
      <c s="928">
        <v>6</v>
      </c>
      <c s="928">
        <v>18</v>
      </c>
      <c s="928">
        <v>27</v>
      </c>
      <c s="928">
        <v>18</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8</v>
      </c>
      <c s="928">
        <v>8</v>
      </c>
      <c s="928">
        <v>8</v>
      </c>
      <c s="928">
        <v>8</v>
      </c>
      <c s="928">
        <v>8</v>
      </c>
      <c s="928">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AEA64FD-E192-CBE7-4F4A-0.20B4BF7A}" mc:Ignorable="x14ac xr xr2 xr3">
  <sheetPr>
    <tabColor theme="2" tint="-0.0999799966812134"/>
  </sheetPr>
  <dimension ref="A1:S23"/>
  <sheetViews>
    <sheetView showGridLines="0" zoomScale="90" zoomScaleNormal="90" workbookViewId="0" topLeftCell="A1">
      <selection pane="topLeft" activeCell="H19" sqref="H19"/>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36" style="1637" customWidth="1"/>
    <col min="6" max="6" width="9" style="1637" customWidth="1"/>
    <col min="7" max="7" width="42.4285714285714" style="1637" hidden="1" customWidth="1"/>
    <col min="8" max="8" width="40.7142857142857" style="1637" customWidth="1"/>
    <col min="9" max="9" width="93" style="1368" customWidth="1"/>
    <col min="10" max="17" width="10" style="1637" customWidth="1"/>
    <col min="18" max="18" width="10" style="677" customWidth="1"/>
    <col min="19" max="19" width="10.5714285714286" style="1637" hidden="1"/>
  </cols>
  <sheetData>
    <row r="1" spans="3:19" s="1368" customFormat="1" ht="15" customHeight="1" hidden="1">
      <c r="C1" s="674"/>
      <c r="H1" s="419">
        <v>4</v>
      </c>
      <c r="R1" s="422"/>
      <c s="419" t="s">
        <v>14</v>
      </c>
    </row>
    <row r="2" spans="3:19" ht="22.5" customHeight="1" hidden="1">
      <c r="C2" s="1930" t="s">
        <v>689</v>
      </c>
      <c s="541"/>
      <c s="665"/>
      <c s="1763" t="str">
        <f>IF(TEMPLATE_SPHERE="HEAT","Гкал/час","тыс. куб. м/сутки")</f>
        <v>тыс. куб. м/сутки</v>
      </c>
      <c s="682"/>
      <c s="682"/>
      <c s="291"/>
      <c r="S2" s="507">
        <v>0</v>
      </c>
    </row>
    <row r="3" spans="3:19" s="1368" customFormat="1" ht="15" customHeight="1" hidden="1">
      <c r="C3" s="674"/>
      <c r="R3" s="422"/>
      <c s="419">
        <v>0</v>
      </c>
    </row>
    <row r="4" spans="3:19" ht="15.75" customHeight="1">
      <c r="C4" s="178"/>
      <c s="511"/>
      <c s="511"/>
      <c s="511"/>
      <c s="511"/>
      <c s="511"/>
      <c r="S4" s="507">
        <v>15</v>
      </c>
    </row>
    <row r="5" spans="3:19" ht="39.75" customHeight="1">
      <c r="C5" s="178"/>
      <c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2239"/>
      <c s="2239"/>
      <c s="2239"/>
      <c s="2239"/>
      <c s="539"/>
      <c r="S5" s="507">
        <v>38</v>
      </c>
    </row>
    <row r="6" spans="3:19" ht="15.75" customHeight="1">
      <c r="C6" s="178"/>
      <c s="2178" t="str">
        <f>IF(org=0,"Не определено",org)</f>
        <v>ГУП КК "Кубаньводкомплекс"</v>
      </c>
      <c s="2178"/>
      <c s="2178"/>
      <c s="2178"/>
      <c s="2178"/>
      <c s="539"/>
      <c r="S6" s="507">
        <v>15</v>
      </c>
    </row>
    <row r="7" spans="1:19" s="1637" customFormat="1" ht="15.75" customHeight="1">
      <c r="A7" s="761"/>
      <c r="C7" s="178"/>
      <c s="678"/>
      <c s="678"/>
      <c s="678"/>
      <c s="678"/>
      <c s="754"/>
      <c s="539"/>
      <c r="R7" s="677"/>
      <c s="760">
        <v>15</v>
      </c>
    </row>
    <row r="8" spans="3:19" ht="1.05" customHeight="1">
      <c r="C8" s="178"/>
      <c s="511"/>
      <c s="511"/>
      <c s="511"/>
      <c s="511"/>
      <c s="539" t="s">
        <v>118</v>
      </c>
      <c r="S8" s="507">
        <v>1</v>
      </c>
    </row>
    <row r="9" spans="3:19" ht="15.75" customHeight="1">
      <c r="C9" s="178"/>
      <c s="713"/>
      <c s="2369" t="s">
        <v>105</v>
      </c>
      <c s="2370"/>
      <c s="818" t="str">
        <f>IF(G8="","",INDEX(DIFFERENTIATION_UNMERGE_VD,MATCH(G8,DIFFERENTIATION_ID_DIFF,0)))</f>
        <v/>
      </c>
      <c s="818" t="str">
        <f>IF(H8="","",INDEX(DIFFERENTIATION_UNMERGE_VD,MATCH(H8,DIFFERENTIATION_ID_DIFF,0)))</f>
        <v>Водоотведение; Транспортировка; Подключение (технологическое присоединение) к централизованной системе водоотведения</v>
      </c>
      <c s="2129" t="s">
        <v>301</v>
      </c>
      <c r="S9" s="507">
        <v>15</v>
      </c>
    </row>
    <row r="10" spans="1:19" s="1637" customFormat="1" ht="15.75" customHeight="1">
      <c r="A10" s="761"/>
      <c r="C10" s="178"/>
      <c s="713"/>
      <c s="2369" t="s">
        <v>564</v>
      </c>
      <c s="2370"/>
      <c s="818" t="str">
        <f>IF(G8="","",INDEX(DIFFERENTIATION_UNMERGE_AREA,MATCH(G8,DIFFERENTIATION_ID_DIFF,0)))</f>
        <v/>
      </c>
      <c s="818" t="str">
        <f>IF(H8="","",INDEX(DIFFERENTIATION_UNMERGE_AREA,MATCH(H8,DIFFERENTIATION_ID_DIFF,0)))</f>
        <v>Территория 1</v>
      </c>
      <c s="2129"/>
      <c r="R10" s="677"/>
      <c s="760">
        <v>15</v>
      </c>
    </row>
    <row r="11" spans="1:19" s="1637" customFormat="1" ht="15.75" customHeight="1">
      <c r="A11" s="761"/>
      <c r="C11" s="178"/>
      <c s="713"/>
      <c s="2369" t="s">
        <v>565</v>
      </c>
      <c s="2370"/>
      <c s="818" t="str">
        <f>IF(G8="","",INDEX(DIFFERENTIATION_UNMERGE_SYSTEM,MATCH(G8,DIFFERENTIATION_ID_DIFF,0)))</f>
        <v/>
      </c>
      <c s="818" t="str">
        <f>IF(H8="","",INDEX(DIFFERENTIATION_UNMERGE_SYSTEM,MATCH(H8,DIFFERENTIATION_ID_DIFF,0)))</f>
        <v>Ейский групповой водопровод (разводящие сети водоотведения)</v>
      </c>
      <c s="2129"/>
      <c r="R11" s="677"/>
      <c s="760">
        <v>15</v>
      </c>
    </row>
    <row r="12" spans="1:19" s="1637" customFormat="1" ht="15.75" customHeight="1">
      <c r="A12" s="761"/>
      <c r="C12" s="178"/>
      <c s="2371" t="s">
        <v>300</v>
      </c>
      <c s="2372"/>
      <c s="2372"/>
      <c s="889"/>
      <c s="889"/>
      <c s="2129"/>
      <c r="R12" s="677"/>
      <c s="760">
        <v>15</v>
      </c>
    </row>
    <row r="13" spans="3:19" ht="35.7" customHeight="1">
      <c r="C13" s="178"/>
      <c s="763" t="s">
        <v>87</v>
      </c>
      <c s="762" t="s">
        <v>302</v>
      </c>
      <c s="762" t="s">
        <v>566</v>
      </c>
      <c s="810" t="s">
        <v>303</v>
      </c>
      <c s="756" t="s">
        <v>303</v>
      </c>
      <c s="2129"/>
      <c r="S13" s="507">
        <v>34</v>
      </c>
    </row>
    <row r="14" spans="3:19" ht="15" customHeight="1" hidden="1">
      <c r="C14" s="178"/>
      <c s="595" t="s">
        <v>109</v>
      </c>
      <c s="595" t="s">
        <v>110</v>
      </c>
      <c s="595" t="s">
        <v>89</v>
      </c>
      <c s="661" t="str">
        <f>G1&amp;".1"</f>
        <v>.1</v>
      </c>
      <c s="661" t="str">
        <f>H1&amp;".1"</f>
        <v>4.1</v>
      </c>
      <c s="291"/>
      <c r="S14" s="507">
        <v>0</v>
      </c>
    </row>
    <row r="15" spans="1:19" ht="15.75" customHeight="1">
      <c r="A15" s="507"/>
      <c r="C15" s="528"/>
      <c s="523">
        <v>1</v>
      </c>
      <c s="1932" t="str">
        <f>TP_P_A</f>
        <v>Количество поданных заявлений</v>
      </c>
      <c s="523" t="s">
        <v>1115</v>
      </c>
      <c s="687"/>
      <c s="687">
        <v>56</v>
      </c>
      <c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7">
        <v>15</v>
      </c>
    </row>
    <row r="16" spans="1:19" ht="15.75" customHeight="1">
      <c r="A16" s="507"/>
      <c r="C16" s="528"/>
      <c s="523">
        <v>2</v>
      </c>
      <c s="1932" t="str">
        <f>TP_P_B</f>
        <v>Количество исполненных заявлений</v>
      </c>
      <c s="523" t="s">
        <v>1115</v>
      </c>
      <c s="687"/>
      <c s="687">
        <v>29</v>
      </c>
      <c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7">
        <v>15</v>
      </c>
    </row>
    <row r="17" spans="1:19" ht="78" customHeight="1">
      <c r="A17" s="507"/>
      <c r="C17" s="528"/>
      <c s="523">
        <v>3</v>
      </c>
      <c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3" t="s">
        <v>1115</v>
      </c>
      <c s="687"/>
      <c s="687">
        <v>18</v>
      </c>
      <c s="210"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7">
        <v>74</v>
      </c>
    </row>
    <row r="18" spans="1:19" ht="54.75" customHeight="1">
      <c r="A18" s="507"/>
      <c r="C18" s="528"/>
      <c s="523">
        <v>4</v>
      </c>
      <c s="1932" t="str">
        <f>TP_P_V_1</f>
        <v>Причины отказа в заключении договора о подключении (технологическом присоединении) к централизованной системе водоотведения</v>
      </c>
      <c s="523" t="s">
        <v>306</v>
      </c>
      <c s="688"/>
      <c s="2633" t="s">
        <v>1116</v>
      </c>
      <c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r="19" spans="1:19" ht="60" customHeight="1">
      <c r="A19" s="507"/>
      <c r="C19" s="528"/>
      <c s="523">
        <v>5</v>
      </c>
      <c s="193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523" t="str">
        <f>IF(TEMPLATE_SPHERE="HEAT","Гкал/час","тыс. куб. м/сутки")</f>
        <v>тыс. куб. м/сутки</v>
      </c>
      <c s="689">
        <f>SUM(G20:G22)</f>
        <v>0</v>
      </c>
      <c s="689">
        <f>SUM(H20:H22)</f>
        <v>0</v>
      </c>
      <c s="210"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7">
        <v>57</v>
      </c>
    </row>
    <row r="20" spans="4:19" ht="15" customHeight="1" hidden="1">
      <c r="D20" s="511" t="s">
        <v>1117</v>
      </c>
      <c s="690"/>
      <c s="511"/>
      <c s="511"/>
      <c s="511"/>
      <c s="1765"/>
      <c r="S20" s="507">
        <v>0</v>
      </c>
    </row>
    <row r="21" spans="3:19" ht="29.25" customHeight="1">
      <c r="C21" s="453"/>
      <c s="541" t="s">
        <v>313</v>
      </c>
      <c s="672" t="s">
        <v>46</v>
      </c>
      <c s="1763" t="str">
        <f>IF(TEMPLATE_SPHERE="HEAT","Гкал/час","тыс. куб. м/сутки")</f>
        <v>тыс. куб. м/сутки</v>
      </c>
      <c s="682"/>
      <c s="682"/>
      <c s="217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7">
        <v>28</v>
      </c>
    </row>
    <row r="22" spans="1:19" ht="15.75" customHeight="1">
      <c r="A22" s="507"/>
      <c r="C22" s="507"/>
      <c s="349"/>
      <c s="582" t="s">
        <v>1118</v>
      </c>
      <c s="574"/>
      <c s="574"/>
      <c s="574"/>
      <c s="2173"/>
      <c r="R22" s="507"/>
      <c s="507">
        <v>15</v>
      </c>
    </row>
    <row r="23" spans="1:19" ht="22.5" customHeight="1" hidden="1">
      <c r="A23" s="451" t="s">
        <v>81</v>
      </c>
      <c s="507">
        <v>0</v>
      </c>
      <c s="685">
        <v>4</v>
      </c>
      <c s="507">
        <v>6</v>
      </c>
      <c s="507">
        <v>36</v>
      </c>
      <c s="507">
        <v>9</v>
      </c>
      <c s="760">
        <v>0</v>
      </c>
      <c s="507">
        <v>40</v>
      </c>
      <c s="419">
        <v>93</v>
      </c>
      <c s="507">
        <v>10</v>
      </c>
      <c s="507">
        <v>10</v>
      </c>
      <c s="507">
        <v>10</v>
      </c>
      <c s="507">
        <v>10</v>
      </c>
      <c s="507">
        <v>10</v>
      </c>
      <c s="507">
        <v>10</v>
      </c>
      <c s="507">
        <v>10</v>
      </c>
      <c s="507">
        <v>10</v>
      </c>
      <c s="677">
        <v>10</v>
      </c>
      <c s="507">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textLength" operator="lessThanOrEqual" allowBlank="1" showInputMessage="1" showErrorMessage="1" errorTitle="Ошибка" error="Допускается ввод не более 900 символов!" sqref="E2 E21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s>
  <pageMargins left="0.7" right="0.7" top="0.75" bottom="0.75" header="0.3" footer="0.3"/>
  <pageSetup orientation="portrait" scale="9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374A23C-B58F-D987-A214-0.36F5074}"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9" hidden="1" customWidth="1"/>
    <col min="2" max="2" width="9.14285714285714" style="1368" hidden="1" customWidth="1"/>
    <col min="3" max="3" width="3" style="346" customWidth="1"/>
    <col min="4" max="4" width="6" style="1637" customWidth="1"/>
    <col min="5" max="6" width="64" style="1637" customWidth="1"/>
    <col min="7" max="7" width="140" style="1637" customWidth="1"/>
    <col min="8" max="8" width="10" style="1637" customWidth="1"/>
    <col min="9" max="10" width="10" style="1626" customWidth="1"/>
    <col min="11" max="16" width="10" style="1637" customWidth="1"/>
    <col min="17" max="17" width="10.5714285714286" style="1637" hidden="1"/>
  </cols>
  <sheetData>
    <row r="1" spans="13:17" ht="22.5" customHeight="1" hidden="1">
      <c r="M1" s="257"/>
      <c s="257"/>
      <c r="P1" s="257"/>
      <c s="85" t="s">
        <v>14</v>
      </c>
    </row>
    <row r="2" spans="17:17" ht="14.25" customHeight="1" hidden="1">
      <c r="Q2" s="85">
        <v>0</v>
      </c>
    </row>
    <row r="3" spans="17:17" ht="14.25" customHeight="1" hidden="1">
      <c r="Q3" s="85">
        <v>0</v>
      </c>
    </row>
    <row r="4" spans="3:17" ht="3" customHeight="1">
      <c r="C4" s="98"/>
      <c s="86"/>
      <c s="86"/>
      <c s="87"/>
      <c s="87"/>
      <c r="Q4" s="85">
        <v>3</v>
      </c>
    </row>
    <row r="5" spans="3:17" ht="29.25" customHeight="1">
      <c r="C5" s="98"/>
      <c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2457"/>
      <c s="2457"/>
      <c s="2458"/>
      <c r="Q5" s="85">
        <v>28</v>
      </c>
    </row>
    <row r="6" spans="1:17" s="1637" customFormat="1" ht="18.75" customHeight="1">
      <c r="A6" s="884"/>
      <c s="419"/>
      <c s="378"/>
      <c s="2459" t="str">
        <f>IF(org=0,"Не определено",org)</f>
        <v>ГУП КК "Кубаньводкомплекс"</v>
      </c>
      <c s="2460"/>
      <c s="2460"/>
      <c s="2461"/>
      <c r="I6" s="502"/>
      <c s="502"/>
      <c r="Q6" s="760">
        <v>18</v>
      </c>
    </row>
    <row r="7" spans="3:17" ht="14.7" customHeight="1">
      <c r="C7" s="98"/>
      <c s="86"/>
      <c s="97"/>
      <c s="754"/>
      <c s="195"/>
      <c r="Q7" s="85">
        <v>14</v>
      </c>
    </row>
    <row r="8" spans="1:17" s="1637" customFormat="1" ht="1.05" customHeight="1">
      <c r="A8" s="1671"/>
      <c s="1162"/>
      <c s="378"/>
      <c s="365"/>
      <c s="391"/>
      <c s="754"/>
      <c s="195"/>
      <c r="I8" s="1626"/>
      <c s="1626"/>
      <c r="Q8" s="1633">
        <v>1</v>
      </c>
    </row>
    <row r="9" spans="3:17" ht="14.7" customHeight="1">
      <c r="C9" s="98"/>
      <c s="2211" t="s">
        <v>300</v>
      </c>
      <c s="2211"/>
      <c s="2211"/>
      <c s="2391" t="s">
        <v>301</v>
      </c>
      <c r="Q9" s="85">
        <v>14</v>
      </c>
    </row>
    <row r="10" spans="3:17" ht="24" customHeight="1">
      <c r="C10" s="98"/>
      <c s="107" t="s">
        <v>87</v>
      </c>
      <c s="110" t="s">
        <v>302</v>
      </c>
      <c s="110" t="s">
        <v>390</v>
      </c>
      <c s="2391"/>
      <c r="Q10" s="85">
        <v>23</v>
      </c>
    </row>
    <row r="11" spans="3:17" ht="12" customHeight="1" hidden="1">
      <c r="C11" s="98"/>
      <c s="89"/>
      <c s="89"/>
      <c s="89"/>
      <c s="89"/>
      <c r="Q11" s="85">
        <v>0</v>
      </c>
    </row>
    <row r="12" spans="1:17" ht="65.25" customHeight="1">
      <c r="A12" s="194"/>
      <c r="C12" s="98"/>
      <c s="149">
        <v>1</v>
      </c>
      <c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200" t="s">
        <v>306</v>
      </c>
      <c s="153"/>
      <c r="Q12" s="85">
        <v>62</v>
      </c>
    </row>
    <row r="13" spans="1:17" ht="24" customHeight="1">
      <c r="A13" s="194"/>
      <c r="C13" s="98"/>
      <c s="149" t="s">
        <v>1022</v>
      </c>
      <c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200" t="s">
        <v>306</v>
      </c>
      <c s="153"/>
      <c r="Q13" s="85">
        <v>23</v>
      </c>
    </row>
    <row r="14" spans="1:17" ht="14.7" customHeight="1">
      <c r="A14" s="194"/>
      <c r="C14" s="98"/>
      <c s="149" t="s">
        <v>1058</v>
      </c>
      <c s="197"/>
      <c s="215"/>
      <c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r="15" spans="1:17" ht="15.75" customHeight="1">
      <c r="A15" s="194"/>
      <c r="C15" s="98"/>
      <c s="111"/>
      <c s="351" t="s">
        <v>1119</v>
      </c>
      <c s="203"/>
      <c s="2173"/>
      <c r="Q15" s="85">
        <v>15</v>
      </c>
    </row>
    <row r="16" spans="1:17" ht="14.7" customHeight="1">
      <c r="A16" s="194"/>
      <c r="C16" s="98"/>
      <c s="149" t="s">
        <v>1024</v>
      </c>
      <c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200" t="s">
        <v>306</v>
      </c>
      <c s="339"/>
      <c r="Q16" s="85">
        <v>14</v>
      </c>
    </row>
    <row r="17" spans="1:17" ht="14.7" customHeight="1">
      <c r="A17" s="194"/>
      <c r="C17" s="98"/>
      <c s="149" t="s">
        <v>1066</v>
      </c>
      <c s="197"/>
      <c s="387"/>
      <c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5">
        <v>14</v>
      </c>
    </row>
    <row r="18" spans="1:17" s="1637" customFormat="1" ht="22.05" customHeight="1">
      <c r="A18" s="345"/>
      <c s="148"/>
      <c s="309"/>
      <c s="349"/>
      <c s="351" t="s">
        <v>1120</v>
      </c>
      <c s="340"/>
      <c s="2173"/>
      <c r="I18" s="352"/>
      <c s="352"/>
      <c r="Q18" s="344">
        <v>21</v>
      </c>
    </row>
    <row r="19" spans="1:17" s="1637" customFormat="1" ht="256.5" customHeight="1" hidden="1">
      <c r="A19" s="345"/>
      <c s="419"/>
      <c s="378"/>
      <c s="886" t="s">
        <v>1026</v>
      </c>
      <c s="885" t="s">
        <v>1121</v>
      </c>
      <c s="387"/>
      <c s="339" t="s">
        <v>1122</v>
      </c>
      <c r="I19" s="502"/>
      <c s="502"/>
      <c r="Q19" s="760">
        <v>0</v>
      </c>
    </row>
    <row r="20" spans="1:17" s="1637" customFormat="1" ht="14.7" customHeight="1">
      <c r="A20" s="345"/>
      <c s="148"/>
      <c s="309"/>
      <c s="887">
        <v>2</v>
      </c>
      <c s="332" t="s">
        <v>1123</v>
      </c>
      <c s="200" t="s">
        <v>306</v>
      </c>
      <c s="339"/>
      <c r="I20" s="352"/>
      <c s="352"/>
      <c r="Q20" s="344">
        <v>14</v>
      </c>
    </row>
    <row r="21" spans="1:17" s="1637" customFormat="1" ht="18.75" customHeight="1" hidden="1">
      <c r="A21" s="345"/>
      <c s="148"/>
      <c s="309"/>
      <c s="335" t="s">
        <v>636</v>
      </c>
      <c s="334"/>
      <c s="333"/>
      <c s="343"/>
      <c s="336"/>
      <c s="352"/>
      <c s="352"/>
      <c r="Q21" s="344">
        <v>0</v>
      </c>
    </row>
    <row r="22" spans="1:17" ht="15.75" customHeight="1">
      <c r="A22" s="194"/>
      <c r="C22" s="98"/>
      <c s="111"/>
      <c s="205" t="s">
        <v>322</v>
      </c>
      <c s="340"/>
      <c s="341"/>
      <c r="Q22" s="85">
        <v>15</v>
      </c>
    </row>
    <row r="23" spans="1:17" s="1637" customFormat="1" ht="22.5" customHeight="1" hidden="1">
      <c r="A23" s="345"/>
      <c s="1162"/>
      <c s="378"/>
      <c s="1675" t="s">
        <v>110</v>
      </c>
      <c s="199" t="s">
        <v>1124</v>
      </c>
      <c s="1672" t="s">
        <v>306</v>
      </c>
      <c s="347"/>
      <c r="I23" s="1626"/>
      <c s="1626"/>
      <c r="Q23" s="1633">
        <v>0</v>
      </c>
    </row>
    <row r="24" spans="1:17" s="1637" customFormat="1" ht="14.25" customHeight="1" hidden="1">
      <c r="A24" s="345"/>
      <c s="1162"/>
      <c s="378"/>
      <c s="1675" t="s">
        <v>709</v>
      </c>
      <c s="1674" t="s">
        <v>1125</v>
      </c>
      <c s="1672" t="s">
        <v>306</v>
      </c>
      <c s="339"/>
      <c r="I24" s="1626"/>
      <c s="1626"/>
      <c r="Q24" s="1633">
        <v>0</v>
      </c>
    </row>
    <row r="25" spans="1:17" s="1637" customFormat="1" ht="14.25" customHeight="1" hidden="1">
      <c r="A25" s="345"/>
      <c s="1162"/>
      <c s="378"/>
      <c s="1675" t="s">
        <v>712</v>
      </c>
      <c s="197"/>
      <c s="387"/>
      <c s="2171" t="s">
        <v>1126</v>
      </c>
      <c r="I25" s="1626"/>
      <c s="1626"/>
      <c r="Q25" s="1633">
        <v>0</v>
      </c>
    </row>
    <row r="26" spans="1:17" s="1637" customFormat="1" ht="22.5" customHeight="1" hidden="1">
      <c r="A26" s="345"/>
      <c s="1162"/>
      <c s="378"/>
      <c s="349"/>
      <c s="351" t="s">
        <v>1127</v>
      </c>
      <c s="340"/>
      <c s="2173"/>
      <c r="I26" s="1626"/>
      <c s="1626"/>
      <c r="Q26" s="1633">
        <v>0</v>
      </c>
    </row>
    <row r="27" spans="17:17" ht="3" customHeight="1">
      <c r="Q27" s="85">
        <v>3</v>
      </c>
    </row>
    <row r="28" spans="4:17" ht="14.7" customHeight="1">
      <c r="D28" s="338"/>
      <c s="337"/>
      <c s="317"/>
      <c s="317"/>
      <c s="317"/>
      <c s="317"/>
      <c s="317"/>
      <c s="317"/>
      <c s="317"/>
      <c s="317"/>
      <c s="317"/>
      <c s="317"/>
      <c s="317"/>
      <c s="85">
        <v>14</v>
      </c>
    </row>
    <row r="29" spans="4:17" ht="14.7" customHeight="1">
      <c r="D29" s="338"/>
      <c s="584"/>
      <c r="Q29" s="85">
        <v>14</v>
      </c>
    </row>
    <row r="30" spans="17:17" ht="14.7" customHeight="1">
      <c r="Q30" s="85">
        <v>14</v>
      </c>
    </row>
    <row r="31" spans="5:17" ht="14.7" customHeight="1">
      <c r="E31" s="760"/>
      <c r="Q31" s="85">
        <v>14</v>
      </c>
    </row>
    <row r="32" spans="1:17" ht="22.5" customHeight="1" hidden="1">
      <c r="A32" s="103" t="s">
        <v>81</v>
      </c>
      <c s="148">
        <v>0</v>
      </c>
      <c s="99">
        <v>3</v>
      </c>
      <c s="85">
        <v>6</v>
      </c>
      <c s="85">
        <v>64</v>
      </c>
      <c s="85">
        <v>64</v>
      </c>
      <c s="85">
        <v>140</v>
      </c>
      <c s="85">
        <v>10</v>
      </c>
      <c s="157">
        <v>10</v>
      </c>
      <c s="157">
        <v>10</v>
      </c>
      <c s="85">
        <v>10</v>
      </c>
      <c s="85">
        <v>10</v>
      </c>
      <c s="85">
        <v>10</v>
      </c>
      <c s="85">
        <v>10</v>
      </c>
      <c s="85">
        <v>10</v>
      </c>
      <c s="85">
        <v>10</v>
      </c>
      <c s="85">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B69EF16-6464-E1D7-8C6C-0.1E240711}"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8" hidden="1" customWidth="1"/>
    <col min="2" max="2" width="9.14285714285714" style="1368" hidden="1" customWidth="1"/>
    <col min="3" max="3" width="3" style="346" customWidth="1"/>
    <col min="4" max="4" width="6" style="1637" customWidth="1"/>
    <col min="5" max="5" width="63" style="1637" customWidth="1"/>
    <col min="6" max="6" width="1.71428571428571" style="1637" hidden="1" customWidth="1"/>
    <col min="7" max="8" width="35" style="1637" customWidth="1"/>
    <col min="9" max="9" width="91" style="1637" customWidth="1"/>
    <col min="10" max="10" width="68" style="1637" customWidth="1"/>
    <col min="11" max="12" width="10" style="1626" customWidth="1"/>
    <col min="13" max="13" width="10.5714285714286" style="1637" hidden="1"/>
  </cols>
  <sheetData>
    <row r="1" spans="13:13" ht="22.5" customHeight="1" hidden="1">
      <c r="M1" s="85" t="s">
        <v>14</v>
      </c>
    </row>
    <row r="2" spans="1:13" s="1637" customFormat="1" ht="18.75" customHeight="1" hidden="1">
      <c r="A2" s="1685"/>
      <c s="1162"/>
      <c s="1732" t="s">
        <v>689</v>
      </c>
      <c s="1675"/>
      <c s="201"/>
      <c s="1672"/>
      <c s="1672" t="s">
        <v>306</v>
      </c>
      <c s="1163"/>
      <c r="K2" s="1626"/>
      <c s="1626"/>
      <c s="1633">
        <v>0</v>
      </c>
    </row>
    <row r="3" spans="1:13" s="1637" customFormat="1" ht="14.25" customHeight="1" hidden="1">
      <c r="A3" s="1364"/>
      <c s="1162"/>
      <c s="346"/>
      <c r="K3" s="1626"/>
      <c s="1626"/>
      <c s="1633">
        <v>0</v>
      </c>
    </row>
    <row r="4" spans="1:13" s="1637" customFormat="1" ht="18.75" customHeight="1" hidden="1">
      <c r="A4" s="1685"/>
      <c s="1162"/>
      <c s="1732" t="s">
        <v>689</v>
      </c>
      <c s="1675"/>
      <c s="207" t="s">
        <v>1128</v>
      </c>
      <c s="1672"/>
      <c s="259"/>
      <c s="1672" t="s">
        <v>306</v>
      </c>
      <c r="K4" s="1626"/>
      <c s="1626"/>
      <c s="1633">
        <v>0</v>
      </c>
    </row>
    <row r="5" spans="1:13" s="1637" customFormat="1" ht="14.25" customHeight="1" hidden="1">
      <c r="A5" s="1364"/>
      <c s="1162"/>
      <c s="346"/>
      <c r="K5" s="1626"/>
      <c s="1626"/>
      <c s="1633">
        <v>0</v>
      </c>
    </row>
    <row r="6" spans="1:13" s="1637" customFormat="1" ht="18.75" customHeight="1" hidden="1">
      <c r="A6" s="1685"/>
      <c s="1162"/>
      <c s="1732" t="s">
        <v>689</v>
      </c>
      <c s="1675"/>
      <c s="208" t="s">
        <v>1129</v>
      </c>
      <c s="1672"/>
      <c s="259"/>
      <c s="1672" t="s">
        <v>306</v>
      </c>
      <c r="K6" s="1626"/>
      <c s="1626"/>
      <c s="1633">
        <v>0</v>
      </c>
    </row>
    <row r="7" spans="1:13" s="1637" customFormat="1" ht="14.25" customHeight="1" hidden="1">
      <c r="A7" s="1364"/>
      <c s="1162"/>
      <c s="346"/>
      <c r="K7" s="1626"/>
      <c s="1626"/>
      <c s="1633">
        <v>0</v>
      </c>
    </row>
    <row r="8" spans="1:13" s="1637" customFormat="1" ht="18.75" customHeight="1" hidden="1">
      <c r="A8" s="1685"/>
      <c s="1162"/>
      <c s="1732" t="s">
        <v>689</v>
      </c>
      <c s="1675"/>
      <c s="208" t="s">
        <v>1130</v>
      </c>
      <c s="1672"/>
      <c s="259"/>
      <c s="1672" t="s">
        <v>306</v>
      </c>
      <c r="K8" s="1626"/>
      <c s="1626"/>
      <c s="1633">
        <v>0</v>
      </c>
    </row>
    <row r="9" spans="1:13" s="1637" customFormat="1" ht="14.25" customHeight="1" hidden="1">
      <c r="A9" s="1364"/>
      <c s="1162"/>
      <c s="346"/>
      <c r="K9" s="1626"/>
      <c s="1626"/>
      <c s="1633">
        <v>0</v>
      </c>
    </row>
    <row r="10" spans="1:13" s="1637" customFormat="1" ht="18.75" customHeight="1" hidden="1">
      <c r="A10" s="1685"/>
      <c s="1162"/>
      <c s="1732" t="s">
        <v>689</v>
      </c>
      <c s="1675"/>
      <c s="208" t="s">
        <v>1131</v>
      </c>
      <c s="1672"/>
      <c s="1676"/>
      <c s="1672" t="s">
        <v>306</v>
      </c>
      <c r="K10" s="1626"/>
      <c s="1626" t="s">
        <v>1132</v>
      </c>
      <c s="1633">
        <v>0</v>
      </c>
    </row>
    <row r="11" spans="13:13" ht="14.25" customHeight="1" hidden="1">
      <c r="M11" s="85">
        <v>0</v>
      </c>
    </row>
    <row r="12" spans="13:13" ht="14.25" customHeight="1" hidden="1">
      <c r="M12" s="85">
        <v>0</v>
      </c>
    </row>
    <row r="13" spans="3:13" ht="14.7" customHeight="1">
      <c r="C13" s="98"/>
      <c s="86"/>
      <c s="86"/>
      <c s="86"/>
      <c s="86"/>
      <c s="87"/>
      <c s="87"/>
      <c r="M13" s="85">
        <v>14</v>
      </c>
    </row>
    <row r="14" spans="3:13" ht="29.25" customHeight="1">
      <c r="C14" s="98"/>
      <c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2457"/>
      <c s="2457"/>
      <c s="2457"/>
      <c s="2458"/>
      <c r="J14" s="1633"/>
      <c r="M14" s="85">
        <v>28</v>
      </c>
    </row>
    <row r="15" spans="1:13" s="1637" customFormat="1" ht="14.7" customHeight="1">
      <c r="A15" s="1364"/>
      <c s="1162"/>
      <c s="378"/>
      <c s="2459" t="str">
        <f>IF(org=0,"Не определено",org)</f>
        <v>ГУП КК "Кубаньводкомплекс"</v>
      </c>
      <c s="2460"/>
      <c s="2460"/>
      <c s="2460"/>
      <c s="2461"/>
      <c r="J15" s="854"/>
      <c s="1626"/>
      <c s="1626"/>
      <c s="1633">
        <v>14</v>
      </c>
    </row>
    <row r="16" spans="3:13" ht="14.7" customHeight="1">
      <c r="C16" s="98"/>
      <c s="86"/>
      <c s="97"/>
      <c s="97"/>
      <c s="97"/>
      <c s="754"/>
      <c s="195"/>
      <c r="M16" s="85">
        <v>14</v>
      </c>
    </row>
    <row r="17" spans="1:13" s="1637" customFormat="1" ht="14.25" customHeight="1" hidden="1">
      <c r="A17" s="1364"/>
      <c s="1162"/>
      <c s="378"/>
      <c s="365"/>
      <c s="391"/>
      <c s="391"/>
      <c s="391"/>
      <c s="754"/>
      <c s="195"/>
      <c r="K17" s="1626"/>
      <c s="1626"/>
      <c s="1633">
        <v>0</v>
      </c>
    </row>
    <row r="18" spans="3:13" ht="22.05" customHeight="1">
      <c r="C18" s="98"/>
      <c s="2211" t="s">
        <v>300</v>
      </c>
      <c s="2211"/>
      <c s="2211"/>
      <c s="2211"/>
      <c s="2211"/>
      <c s="2391" t="s">
        <v>301</v>
      </c>
      <c r="M18" s="85">
        <v>21</v>
      </c>
    </row>
    <row r="19" spans="3:13" ht="22.05" customHeight="1">
      <c r="C19" s="98"/>
      <c s="107" t="s">
        <v>87</v>
      </c>
      <c s="110" t="s">
        <v>302</v>
      </c>
      <c s="110"/>
      <c s="110" t="s">
        <v>303</v>
      </c>
      <c s="110" t="s">
        <v>390</v>
      </c>
      <c s="2391"/>
      <c r="M19" s="85">
        <v>21</v>
      </c>
    </row>
    <row r="20" spans="3:13" ht="12" customHeight="1" hidden="1">
      <c r="C20" s="98"/>
      <c s="89"/>
      <c s="89"/>
      <c s="89"/>
      <c s="89"/>
      <c s="89"/>
      <c s="89"/>
      <c r="M20" s="85">
        <v>0</v>
      </c>
    </row>
    <row r="21" spans="1:13" ht="14.7" customHeight="1">
      <c r="A21" s="1685"/>
      <c r="C21" s="98"/>
      <c s="149">
        <v>1</v>
      </c>
      <c s="2463" t="s">
        <v>1133</v>
      </c>
      <c s="2463"/>
      <c s="2463"/>
      <c s="2463"/>
      <c s="210"/>
      <c r="M21" s="85">
        <v>14</v>
      </c>
    </row>
    <row r="22" spans="1:13" ht="21" customHeight="1">
      <c r="A22" s="1685"/>
      <c r="C22" s="98"/>
      <c s="149" t="s">
        <v>1022</v>
      </c>
      <c s="196" t="s">
        <v>1134</v>
      </c>
      <c s="200"/>
      <c s="1739"/>
      <c s="200" t="s">
        <v>306</v>
      </c>
      <c s="153" t="s">
        <v>1135</v>
      </c>
      <c r="M22" s="85">
        <v>20</v>
      </c>
    </row>
    <row r="23" spans="1:13" ht="60" customHeight="1">
      <c r="A23" s="1685"/>
      <c r="C23" s="98"/>
      <c s="149" t="s">
        <v>1024</v>
      </c>
      <c s="196" t="s">
        <v>1136</v>
      </c>
      <c s="200"/>
      <c s="259"/>
      <c s="215"/>
      <c s="260" t="s">
        <v>1137</v>
      </c>
      <c r="M23" s="85">
        <v>57</v>
      </c>
    </row>
    <row r="24" spans="1:13" ht="14.7" customHeight="1">
      <c r="A24" s="1685"/>
      <c s="148">
        <v>3</v>
      </c>
      <c s="98"/>
      <c s="149">
        <v>2</v>
      </c>
      <c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200"/>
      <c s="200" t="s">
        <v>306</v>
      </c>
      <c s="215"/>
      <c s="261" t="s">
        <v>631</v>
      </c>
      <c r="M24" s="85">
        <v>14</v>
      </c>
    </row>
    <row r="25" spans="1:13" ht="48.3" customHeight="1">
      <c r="A25" s="1685"/>
      <c r="C25" s="98"/>
      <c s="149">
        <v>3</v>
      </c>
      <c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2"/>
      <c s="2462"/>
      <c s="2462"/>
      <c s="258"/>
      <c r="M25" s="85">
        <v>46</v>
      </c>
    </row>
    <row r="26" spans="1:13" ht="14.7" customHeight="1">
      <c r="A26" s="1685"/>
      <c r="C26" s="98"/>
      <c s="149" t="s">
        <v>324</v>
      </c>
      <c s="201"/>
      <c s="200"/>
      <c s="200" t="s">
        <v>306</v>
      </c>
      <c s="215"/>
      <c s="2171" t="s">
        <v>1138</v>
      </c>
      <c r="M26" s="85">
        <v>14</v>
      </c>
    </row>
    <row r="27" spans="1:13" ht="15.75" customHeight="1">
      <c r="A27" s="1685" t="s">
        <v>109</v>
      </c>
      <c r="C27" s="98"/>
      <c s="111"/>
      <c s="205" t="s">
        <v>322</v>
      </c>
      <c s="206"/>
      <c s="206"/>
      <c s="203"/>
      <c s="2173"/>
      <c r="M27" s="85">
        <v>15</v>
      </c>
    </row>
    <row r="28" spans="1:13" ht="39.75" customHeight="1">
      <c r="A28" s="1685"/>
      <c s="148">
        <v>3</v>
      </c>
      <c s="98"/>
      <c s="149">
        <v>4</v>
      </c>
      <c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2462"/>
      <c s="2462"/>
      <c s="2462"/>
      <c s="258"/>
      <c r="M28" s="85">
        <v>38</v>
      </c>
    </row>
    <row r="29" spans="1:13" ht="21" customHeight="1">
      <c r="A29" s="1685"/>
      <c r="C29" s="98"/>
      <c s="149" t="s">
        <v>754</v>
      </c>
      <c s="207" t="s">
        <v>1128</v>
      </c>
      <c s="200"/>
      <c s="259"/>
      <c s="200" t="s">
        <v>306</v>
      </c>
      <c s="2171" t="s">
        <v>1139</v>
      </c>
      <c r="M29" s="85">
        <v>20</v>
      </c>
    </row>
    <row r="30" spans="1:13" ht="15.75" customHeight="1">
      <c r="A30" s="1685" t="s">
        <v>110</v>
      </c>
      <c r="C30" s="98"/>
      <c s="111"/>
      <c s="205" t="s">
        <v>322</v>
      </c>
      <c s="206"/>
      <c s="206"/>
      <c s="203"/>
      <c s="2173"/>
      <c r="M30" s="85">
        <v>15</v>
      </c>
    </row>
    <row r="31" spans="1:13" ht="31.5" customHeight="1">
      <c r="A31" s="1685"/>
      <c s="148">
        <v>3</v>
      </c>
      <c s="98"/>
      <c s="149">
        <v>5</v>
      </c>
      <c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62"/>
      <c s="2462"/>
      <c s="2462"/>
      <c s="258"/>
      <c r="M31" s="85">
        <v>30</v>
      </c>
    </row>
    <row r="32" spans="1:13" ht="27.3" customHeight="1">
      <c r="A32" s="1685"/>
      <c r="C32" s="98"/>
      <c s="149" t="s">
        <v>313</v>
      </c>
      <c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2405"/>
      <c s="2405"/>
      <c s="2405"/>
      <c s="258"/>
      <c r="M32" s="85">
        <v>26</v>
      </c>
    </row>
    <row r="33" spans="1:13" ht="14.7" customHeight="1">
      <c r="A33" s="1685"/>
      <c r="C33" s="98"/>
      <c s="149" t="s">
        <v>1140</v>
      </c>
      <c s="208" t="s">
        <v>1129</v>
      </c>
      <c s="200"/>
      <c s="259"/>
      <c s="200" t="s">
        <v>306</v>
      </c>
      <c s="2171" t="s">
        <v>1141</v>
      </c>
      <c r="M33" s="85">
        <v>14</v>
      </c>
    </row>
    <row r="34" spans="1:13" ht="15.75" customHeight="1">
      <c r="A34" s="1685" t="s">
        <v>89</v>
      </c>
      <c r="C34" s="98"/>
      <c s="111"/>
      <c s="206" t="s">
        <v>322</v>
      </c>
      <c s="202"/>
      <c s="202"/>
      <c s="203"/>
      <c s="2173"/>
      <c r="M34" s="85">
        <v>15</v>
      </c>
    </row>
    <row r="35" spans="1:13" ht="25.2" customHeight="1">
      <c r="A35" s="1685"/>
      <c r="C35" s="98"/>
      <c s="149" t="s">
        <v>882</v>
      </c>
      <c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2405"/>
      <c s="2405"/>
      <c s="2405"/>
      <c s="258"/>
      <c r="M35" s="85">
        <v>24</v>
      </c>
    </row>
    <row r="36" spans="1:13" ht="14.7" customHeight="1">
      <c r="A36" s="1685"/>
      <c r="C36" s="98"/>
      <c s="149" t="s">
        <v>1142</v>
      </c>
      <c s="208" t="s">
        <v>1130</v>
      </c>
      <c s="200"/>
      <c s="259"/>
      <c s="200" t="s">
        <v>306</v>
      </c>
      <c s="2145" t="s">
        <v>1143</v>
      </c>
      <c r="M36" s="85">
        <v>14</v>
      </c>
    </row>
    <row r="37" spans="1:13" ht="15.75" customHeight="1">
      <c r="A37" s="1685" t="s">
        <v>90</v>
      </c>
      <c r="C37" s="98"/>
      <c s="111"/>
      <c s="206" t="s">
        <v>322</v>
      </c>
      <c s="202"/>
      <c s="202"/>
      <c s="203"/>
      <c s="2145"/>
      <c r="M37" s="85">
        <v>15</v>
      </c>
    </row>
    <row r="38" spans="1:13" ht="27.3" customHeight="1">
      <c r="A38" s="1685"/>
      <c r="C38" s="98"/>
      <c s="149" t="s">
        <v>883</v>
      </c>
      <c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05"/>
      <c s="2405"/>
      <c s="2405"/>
      <c s="258"/>
      <c r="M38" s="85">
        <v>26</v>
      </c>
    </row>
    <row r="39" spans="1:13" ht="14.7" customHeight="1">
      <c r="A39" s="1685"/>
      <c r="C39" s="98"/>
      <c s="149" t="s">
        <v>884</v>
      </c>
      <c s="208" t="s">
        <v>1131</v>
      </c>
      <c s="200"/>
      <c s="209"/>
      <c s="200" t="s">
        <v>306</v>
      </c>
      <c s="2171" t="s">
        <v>1144</v>
      </c>
      <c r="L39" s="157" t="s">
        <v>1132</v>
      </c>
      <c s="85">
        <v>14</v>
      </c>
    </row>
    <row r="40" spans="1:13" ht="15.75" customHeight="1">
      <c r="A40" s="1685" t="s">
        <v>111</v>
      </c>
      <c r="C40" s="98"/>
      <c s="111"/>
      <c s="206" t="s">
        <v>322</v>
      </c>
      <c s="202"/>
      <c s="202"/>
      <c s="203"/>
      <c s="2173"/>
      <c r="M40" s="85">
        <v>15</v>
      </c>
    </row>
    <row r="41" spans="1:13" s="1825" customFormat="1" ht="3" customHeight="1">
      <c r="A41" s="1685"/>
      <c r="K41" s="198"/>
      <c s="198"/>
      <c s="142">
        <v>3</v>
      </c>
    </row>
    <row r="42" spans="4:13" ht="26.25" customHeight="1">
      <c r="D42" s="1683" t="s">
        <v>804</v>
      </c>
      <c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2287"/>
      <c s="2287"/>
      <c s="2287"/>
      <c s="2287"/>
      <c r="M42" s="85">
        <v>25</v>
      </c>
    </row>
    <row r="43" spans="1:13" ht="22.5" customHeight="1" hidden="1">
      <c r="A43" s="1364" t="s">
        <v>81</v>
      </c>
      <c s="148">
        <v>0</v>
      </c>
      <c s="99">
        <v>3</v>
      </c>
      <c s="85">
        <v>6</v>
      </c>
      <c s="85">
        <v>63</v>
      </c>
      <c s="85">
        <v>0</v>
      </c>
      <c s="85">
        <v>35</v>
      </c>
      <c s="85">
        <v>35</v>
      </c>
      <c s="85">
        <v>91</v>
      </c>
      <c s="85">
        <v>68</v>
      </c>
      <c s="157">
        <v>10</v>
      </c>
      <c s="157">
        <v>10</v>
      </c>
      <c s="85">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960B343-8A95-2386-D67D-0.EB681B7E}"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1" hidden="1" customWidth="1"/>
    <col min="3" max="3" width="9.14285714285714" style="1689" hidden="1" customWidth="1"/>
    <col min="4" max="4" width="3" style="346" customWidth="1"/>
    <col min="5" max="5" width="6" style="1637" customWidth="1"/>
    <col min="6" max="6" width="46.7142857142857" style="1637" customWidth="1"/>
    <col min="7" max="7" width="35" style="1637" customWidth="1"/>
    <col min="8" max="8" width="3" style="1637" customWidth="1"/>
    <col min="9" max="10" width="11" style="1637" customWidth="1"/>
    <col min="11" max="12" width="35" style="1637" customWidth="1"/>
    <col min="13" max="13" width="84" style="1637" customWidth="1"/>
    <col min="14" max="14" width="10" style="1637" customWidth="1"/>
    <col min="15" max="16" width="10" style="1626" customWidth="1"/>
    <col min="17" max="33" width="10" style="1637" customWidth="1"/>
    <col min="34" max="34" width="10.5714285714286" style="1637" hidden="1"/>
  </cols>
  <sheetData>
    <row r="1" spans="1:34" s="1637" customFormat="1" ht="22.5" customHeight="1" hidden="1">
      <c r="A1" s="1781"/>
      <c s="1781"/>
      <c s="371"/>
      <c s="346"/>
      <c r="N1" s="1638">
        <f>IFERROR(MATCH("метод экономически обоснованных расходов (затрат)",OFFER_METHOD,0),0)</f>
        <v>0</v>
      </c>
      <c s="1626"/>
      <c s="1626"/>
      <c r="T1" s="833"/>
      <c r="AG1" s="257"/>
      <c s="1633" t="s">
        <v>14</v>
      </c>
    </row>
    <row r="2" spans="1:34" s="1637" customFormat="1" ht="18.75" customHeight="1" hidden="1">
      <c r="A2" s="1782" t="s">
        <v>157</v>
      </c>
      <c s="1782" t="s">
        <v>158</v>
      </c>
      <c s="371"/>
      <c s="346"/>
      <c s="1033"/>
      <c s="1033"/>
      <c s="2429" t="str">
        <f>INDEX(PT_DIFFERENTIATION_NTAR,MATCH(B2,PT_DIFFERENTIATION_NTAR_ID,0))</f>
        <v/>
      </c>
      <c s="1866"/>
      <c s="1741"/>
      <c s="1775"/>
      <c s="1867"/>
      <c s="1866" t="s">
        <v>306</v>
      </c>
      <c s="1877"/>
      <c s="336"/>
      <c s="1626"/>
      <c s="1626"/>
      <c r="AH2" s="1633">
        <v>0</v>
      </c>
    </row>
    <row r="3" spans="1:34" s="1637" customFormat="1" ht="18.75" customHeight="1" hidden="1">
      <c r="A3" s="1782"/>
      <c s="1782"/>
      <c s="371" t="s">
        <v>1145</v>
      </c>
      <c s="346"/>
      <c s="1033"/>
      <c s="1033"/>
      <c s="2429"/>
      <c s="1502"/>
      <c s="653" t="s">
        <v>1146</v>
      </c>
      <c s="573"/>
      <c s="1502"/>
      <c s="216"/>
      <c s="1877"/>
      <c s="336"/>
      <c s="1626"/>
      <c s="1626"/>
      <c r="AH3" s="1633">
        <v>0</v>
      </c>
    </row>
    <row r="4" spans="1:34" s="1637" customFormat="1" ht="14.25" customHeight="1" hidden="1">
      <c r="A4" s="1781"/>
      <c s="1781"/>
      <c s="371"/>
      <c s="346"/>
      <c r="N4" s="1638">
        <f>IFERROR(MATCH("метод экономически обоснованных расходов (затрат)",OFFER_METHOD,0),0)</f>
        <v>0</v>
      </c>
      <c s="1626"/>
      <c s="1626"/>
      <c r="T4" s="833"/>
      <c r="AG4" s="257"/>
      <c s="1633">
        <v>0</v>
      </c>
    </row>
    <row r="5" spans="1:34" s="1637" customFormat="1" ht="18.75" customHeight="1" hidden="1">
      <c r="A5" s="1782" t="s">
        <v>157</v>
      </c>
      <c s="1782" t="s">
        <v>158</v>
      </c>
      <c s="371"/>
      <c s="346"/>
      <c s="1033"/>
      <c s="1033"/>
      <c s="2429" t="str">
        <f>INDEX(PT_DIFFERENTIATION_NTAR,MATCH(B5,PT_DIFFERENTIATION_NTAR_ID,0))</f>
        <v/>
      </c>
      <c s="1866"/>
      <c s="1741"/>
      <c s="1775"/>
      <c s="1780"/>
      <c s="1866" t="s">
        <v>306</v>
      </c>
      <c s="1877"/>
      <c s="336"/>
      <c s="1626"/>
      <c s="1626"/>
      <c r="AH5" s="1633">
        <v>0</v>
      </c>
    </row>
    <row r="6" spans="1:34" s="1637" customFormat="1" ht="18.75" customHeight="1" hidden="1">
      <c r="A6" s="1782"/>
      <c s="1782"/>
      <c s="371" t="s">
        <v>1147</v>
      </c>
      <c s="346"/>
      <c s="1033"/>
      <c s="1033"/>
      <c s="2429"/>
      <c s="1502"/>
      <c s="653" t="s">
        <v>1146</v>
      </c>
      <c s="573"/>
      <c s="1502"/>
      <c s="216"/>
      <c s="1877"/>
      <c s="336"/>
      <c s="1626"/>
      <c s="1626"/>
      <c r="AH6" s="1633">
        <v>0</v>
      </c>
    </row>
    <row r="7" spans="1:34" s="1637" customFormat="1" ht="14.25" customHeight="1" hidden="1">
      <c r="A7" s="1781"/>
      <c s="1781"/>
      <c s="371"/>
      <c s="346"/>
      <c r="N7" s="1638">
        <f>IFERROR(MATCH("метод экономически обоснованных расходов (затрат)",OFFER_METHOD,0),0)</f>
        <v>0</v>
      </c>
      <c s="1626"/>
      <c s="1626"/>
      <c r="T7" s="833"/>
      <c r="AG7" s="257"/>
      <c s="1633">
        <v>0</v>
      </c>
    </row>
    <row r="8" spans="1:34" s="1637" customFormat="1" ht="56.25" customHeight="1" hidden="1">
      <c r="A8" s="1782"/>
      <c s="1782"/>
      <c s="371"/>
      <c s="346"/>
      <c s="1033"/>
      <c s="1033"/>
      <c s="1033"/>
      <c s="1773"/>
      <c s="1741"/>
      <c s="1775"/>
      <c s="1867"/>
      <c s="1773" t="s">
        <v>306</v>
      </c>
      <c s="1877"/>
      <c s="336"/>
      <c s="1626"/>
      <c s="1626"/>
      <c r="AH8" s="1633">
        <v>0</v>
      </c>
    </row>
    <row r="9" spans="20:34" ht="14.25" customHeight="1" hidden="1">
      <c r="T9" s="399"/>
      <c r="AG9" s="257"/>
      <c s="376">
        <v>0</v>
      </c>
    </row>
    <row r="10" spans="1:34" s="1637" customFormat="1" ht="56.25" customHeight="1" hidden="1">
      <c r="A10" s="1782"/>
      <c s="1782"/>
      <c s="371"/>
      <c s="346"/>
      <c s="1033"/>
      <c s="1033"/>
      <c s="1033"/>
      <c s="1772"/>
      <c s="1741"/>
      <c s="1775"/>
      <c s="1780"/>
      <c s="1773" t="s">
        <v>306</v>
      </c>
      <c s="1877"/>
      <c s="336"/>
      <c s="1626"/>
      <c s="1626"/>
      <c r="AH10" s="1633">
        <v>0</v>
      </c>
    </row>
    <row r="11" spans="34:34" ht="14.25" customHeight="1" hidden="1">
      <c r="AH11" s="376">
        <v>0</v>
      </c>
    </row>
    <row r="12" spans="34:34" ht="14.25" customHeight="1" hidden="1">
      <c r="AH12" s="376">
        <v>0</v>
      </c>
    </row>
    <row r="13" spans="4:34" ht="6.3" customHeight="1">
      <c r="D13" s="378"/>
      <c s="365"/>
      <c s="365"/>
      <c s="365"/>
      <c s="365"/>
      <c s="365"/>
      <c s="365"/>
      <c s="365"/>
      <c s="87"/>
      <c s="87"/>
      <c r="AH13" s="376">
        <v>6</v>
      </c>
    </row>
    <row r="14" spans="4:34" ht="14.7" customHeight="1">
      <c r="D14" s="378"/>
      <c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2467"/>
      <c s="2467"/>
      <c s="2467"/>
      <c s="2467"/>
      <c s="2467"/>
      <c s="2467"/>
      <c s="2467"/>
      <c s="222"/>
      <c r="AH14" s="376">
        <v>14</v>
      </c>
    </row>
    <row r="15" spans="4:34" ht="6.3" customHeight="1">
      <c r="D15" s="378"/>
      <c s="365"/>
      <c s="391"/>
      <c s="391"/>
      <c s="391"/>
      <c s="391"/>
      <c s="391"/>
      <c s="391"/>
      <c s="324"/>
      <c s="195"/>
      <c r="AH15" s="376">
        <v>6</v>
      </c>
    </row>
    <row r="16" spans="4:34" ht="24" customHeight="1">
      <c r="D16" s="378"/>
      <c s="365"/>
      <c s="307" t="str">
        <f>"Дата подачи заявления об "&amp;IF(TITLE_DATE_PR_CHANGE="","утверждении","изменении")&amp;" тарифов"</f>
        <v>Дата подачи заявления об утверждении тарифов</v>
      </c>
      <c s="2266" t="str">
        <f>IF(TITLE_DATE_PR_CHANGE="",IF(TITLE_DATE_PR="","",TITLE_DATE_PR),TITLE_DATE_PR_CHANGE)</f>
        <v/>
      </c>
      <c s="2266"/>
      <c s="2266"/>
      <c s="2266"/>
      <c s="2266"/>
      <c s="2266"/>
      <c s="400"/>
      <c s="328"/>
      <c r="AH16" s="376">
        <v>23</v>
      </c>
    </row>
    <row r="17" spans="4:34" ht="24" customHeight="1">
      <c r="D17" s="378"/>
      <c s="365"/>
      <c s="307" t="str">
        <f>"Номер подачи заявления об "&amp;IF(TITLE_DATE_PR_CHANGE="","утверждении","изменении")&amp;" тарифов"</f>
        <v>Номер подачи заявления об утверждении тарифов</v>
      </c>
      <c s="2253" t="str">
        <f>IF(TITLE_NUMBER_PR_CHANGE="",IF(TITLE_NUMBER_PR="","",TITLE_NUMBER_PR),TITLE_NUMBER_PR_CHANGE)</f>
        <v/>
      </c>
      <c s="2253"/>
      <c s="2253"/>
      <c s="2253"/>
      <c s="2253"/>
      <c s="2253"/>
      <c s="400"/>
      <c s="328"/>
      <c r="AH17" s="376">
        <v>23</v>
      </c>
    </row>
    <row r="18" spans="4:34" ht="14.7" customHeight="1">
      <c r="D18" s="378"/>
      <c s="365"/>
      <c s="391"/>
      <c s="391"/>
      <c s="391"/>
      <c s="391"/>
      <c s="391"/>
      <c s="391"/>
      <c s="754"/>
      <c s="195"/>
      <c r="AH18" s="376">
        <v>14</v>
      </c>
    </row>
    <row r="19" spans="4:34" ht="22.05" customHeight="1">
      <c r="D19" s="378"/>
      <c s="2211" t="s">
        <v>300</v>
      </c>
      <c s="2211"/>
      <c s="2211"/>
      <c s="2211"/>
      <c s="2211"/>
      <c s="2211"/>
      <c s="2211"/>
      <c s="2211"/>
      <c s="2391" t="s">
        <v>301</v>
      </c>
      <c r="AH19" s="376">
        <v>21</v>
      </c>
    </row>
    <row r="20" spans="4:34" ht="22.05" customHeight="1">
      <c r="D20" s="378"/>
      <c s="2279" t="s">
        <v>87</v>
      </c>
      <c s="2226" t="s">
        <v>124</v>
      </c>
      <c s="2226" t="s">
        <v>125</v>
      </c>
      <c s="2388" t="s">
        <v>1148</v>
      </c>
      <c s="2389"/>
      <c s="2435"/>
      <c s="2226" t="s">
        <v>303</v>
      </c>
      <c s="2226" t="s">
        <v>390</v>
      </c>
      <c s="2391"/>
      <c r="AH20" s="376">
        <v>21</v>
      </c>
    </row>
    <row r="21" spans="4:34" ht="22.05" customHeight="1">
      <c r="D21" s="378"/>
      <c s="2281"/>
      <c s="2227"/>
      <c s="2227"/>
      <c s="2220" t="s">
        <v>1149</v>
      </c>
      <c s="2222"/>
      <c s="110" t="s">
        <v>1150</v>
      </c>
      <c s="2227"/>
      <c s="2227"/>
      <c s="2391"/>
      <c r="AH21" s="376">
        <v>21</v>
      </c>
    </row>
    <row r="22" spans="4:34" ht="12.75" customHeight="1">
      <c r="D22" s="378"/>
      <c s="283"/>
      <c s="283"/>
      <c s="283"/>
      <c s="2469"/>
      <c s="2469"/>
      <c s="283"/>
      <c s="283"/>
      <c s="283"/>
      <c s="283"/>
      <c r="AH22" s="376">
        <v>12</v>
      </c>
    </row>
    <row r="23" spans="1:34" ht="19.95" customHeight="1">
      <c r="A23" s="1782"/>
      <c s="1782"/>
      <c r="D23" s="378"/>
      <c s="1868" t="s">
        <v>109</v>
      </c>
      <c s="2470" t="str">
        <f>"Предлагаемый метод регулирования"&amp;IF(TEMPLATE_SPHERE="HEAT"," в сфере "&amp;TEMPLATE_SPHERE_RUS,"")</f>
        <v>Предлагаемый метод регулирования</v>
      </c>
      <c s="2471"/>
      <c s="2463"/>
      <c s="2463"/>
      <c s="2463"/>
      <c s="2471" t="s">
        <v>306</v>
      </c>
      <c s="2463"/>
      <c s="1771"/>
      <c s="336"/>
      <c r="AH23" s="376">
        <v>19</v>
      </c>
    </row>
    <row r="24" spans="1:34" ht="60.75" customHeight="1" hidden="1">
      <c r="A24" s="1782" t="s">
        <v>157</v>
      </c>
      <c s="1782" t="s">
        <v>158</v>
      </c>
      <c r="D24" s="2468"/>
      <c s="2206"/>
      <c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INDEX(PT_DIFFERENTIATION_NTAR,MATCH(B24,PT_DIFFERENTIATION_NTAR_ID,0))</f>
        <v/>
      </c>
      <c s="1864"/>
      <c s="1741"/>
      <c s="1775"/>
      <c s="1867"/>
      <c s="1770" t="s">
        <v>306</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6"/>
      <c r="AH24" s="376">
        <v>0</v>
      </c>
    </row>
    <row r="25" spans="1:34" s="1637" customFormat="1" ht="18.75" customHeight="1" hidden="1">
      <c r="A25" s="1782"/>
      <c s="1782"/>
      <c s="371" t="s">
        <v>1145</v>
      </c>
      <c s="2468"/>
      <c s="2206"/>
      <c s="2472"/>
      <c s="2429"/>
      <c s="1502"/>
      <c s="653" t="s">
        <v>1146</v>
      </c>
      <c s="573"/>
      <c s="1502"/>
      <c s="216"/>
      <c s="2172"/>
      <c s="336"/>
      <c s="1626"/>
      <c s="1626"/>
      <c r="AH25" s="1633">
        <v>0</v>
      </c>
    </row>
    <row r="26" spans="1:34" ht="0.75" customHeight="1" hidden="1">
      <c r="A26" s="1782"/>
      <c s="1782"/>
      <c s="371" t="s">
        <v>1151</v>
      </c>
      <c s="2468"/>
      <c s="2206"/>
      <c s="2385"/>
      <c s="402"/>
      <c s="1502"/>
      <c s="397"/>
      <c s="351"/>
      <c s="1502"/>
      <c s="203"/>
      <c s="2172"/>
      <c s="336"/>
      <c r="AH26" s="376">
        <v>0</v>
      </c>
    </row>
    <row r="27" spans="1:34" s="1637" customFormat="1" ht="45" customHeight="1" hidden="1">
      <c r="A27" s="1782" t="s">
        <v>162</v>
      </c>
      <c s="1782" t="s">
        <v>163</v>
      </c>
      <c s="371"/>
      <c s="2464"/>
      <c s="2465"/>
      <c s="2466" t="str">
        <f>INDEX(PT_DIFFERENTIATION_VTAR,MATCH(A27,PT_DIFFERENTIATION_VTAR_ID,0))</f>
        <v/>
      </c>
      <c s="2429" t="str">
        <f>INDEX(PT_DIFFERENTIATION_NTAR,MATCH(B27,PT_DIFFERENTIATION_NTAR_ID,0))</f>
        <v/>
      </c>
      <c s="1864"/>
      <c s="1741"/>
      <c s="1775"/>
      <c s="1867"/>
      <c s="1864" t="s">
        <v>306</v>
      </c>
      <c s="2172"/>
      <c s="336"/>
      <c s="1626"/>
      <c s="1626"/>
      <c r="AH27" s="1633">
        <v>0</v>
      </c>
    </row>
    <row r="28" spans="1:34" s="1637" customFormat="1" ht="18.75" customHeight="1" hidden="1">
      <c r="A28" s="1782"/>
      <c s="1782"/>
      <c s="371" t="s">
        <v>1145</v>
      </c>
      <c s="2464"/>
      <c s="2465"/>
      <c s="2466"/>
      <c s="2429"/>
      <c s="1502"/>
      <c s="653" t="s">
        <v>1146</v>
      </c>
      <c s="573"/>
      <c s="1502"/>
      <c s="216"/>
      <c s="2172"/>
      <c s="336"/>
      <c s="1626"/>
      <c s="1626"/>
      <c r="AH28" s="1633">
        <v>0</v>
      </c>
    </row>
    <row r="29" spans="1:34" s="1637" customFormat="1" ht="0.75" customHeight="1" hidden="1">
      <c r="A29" s="1782"/>
      <c s="1782"/>
      <c s="371" t="s">
        <v>1151</v>
      </c>
      <c s="2464"/>
      <c s="2206"/>
      <c s="2385"/>
      <c s="402"/>
      <c s="1502"/>
      <c s="653"/>
      <c s="573"/>
      <c s="1502"/>
      <c s="216"/>
      <c s="2172"/>
      <c s="336"/>
      <c s="1626"/>
      <c s="1626"/>
      <c r="AH29" s="1633">
        <v>0</v>
      </c>
    </row>
    <row r="30" spans="1:34" s="1637" customFormat="1" ht="45" customHeight="1" hidden="1">
      <c r="A30" s="1782" t="s">
        <v>169</v>
      </c>
      <c s="1782" t="s">
        <v>170</v>
      </c>
      <c s="371"/>
      <c s="2464"/>
      <c s="2206"/>
      <c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INDEX(PT_DIFFERENTIATION_NTAR,MATCH(B30,PT_DIFFERENTIATION_NTAR_ID,0))</f>
        <v/>
      </c>
      <c s="1864"/>
      <c s="1741"/>
      <c s="1775"/>
      <c s="1867"/>
      <c s="1864" t="s">
        <v>306</v>
      </c>
      <c s="2172"/>
      <c s="336"/>
      <c s="1626"/>
      <c s="1626"/>
      <c r="AH30" s="1633">
        <v>0</v>
      </c>
    </row>
    <row r="31" spans="1:34" s="1637" customFormat="1" ht="18.75" customHeight="1" hidden="1">
      <c r="A31" s="1782"/>
      <c s="1782"/>
      <c s="371" t="s">
        <v>1145</v>
      </c>
      <c s="2464"/>
      <c s="2206"/>
      <c s="2385"/>
      <c s="2429"/>
      <c s="1502"/>
      <c s="653" t="s">
        <v>1146</v>
      </c>
      <c s="573"/>
      <c s="1502"/>
      <c s="216"/>
      <c s="2172"/>
      <c s="336"/>
      <c s="1626"/>
      <c s="1626"/>
      <c r="AH31" s="1633">
        <v>0</v>
      </c>
    </row>
    <row r="32" spans="1:34" s="1637" customFormat="1" ht="0.75" customHeight="1" hidden="1">
      <c r="A32" s="1782"/>
      <c s="1782"/>
      <c s="371" t="s">
        <v>1151</v>
      </c>
      <c s="2464"/>
      <c s="2206"/>
      <c s="2385"/>
      <c s="402"/>
      <c s="1502"/>
      <c s="653"/>
      <c s="573"/>
      <c s="1502"/>
      <c s="216"/>
      <c s="2172"/>
      <c s="336"/>
      <c s="1626"/>
      <c s="1626"/>
      <c r="AH32" s="1633">
        <v>0</v>
      </c>
    </row>
    <row r="33" spans="1:34" s="1637" customFormat="1" ht="45" customHeight="1" hidden="1">
      <c r="A33" s="1782" t="s">
        <v>175</v>
      </c>
      <c s="1782" t="s">
        <v>176</v>
      </c>
      <c s="371"/>
      <c s="2464"/>
      <c s="2206"/>
      <c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INDEX(PT_DIFFERENTIATION_NTAR,MATCH(B33,PT_DIFFERENTIATION_NTAR_ID,0))</f>
        <v/>
      </c>
      <c s="1864"/>
      <c s="1741"/>
      <c s="1775"/>
      <c s="1867"/>
      <c s="1864" t="s">
        <v>306</v>
      </c>
      <c s="2172"/>
      <c s="336"/>
      <c s="1626"/>
      <c s="1626"/>
      <c r="AH33" s="1633">
        <v>0</v>
      </c>
    </row>
    <row r="34" spans="1:34" s="1637" customFormat="1" ht="18.75" customHeight="1" hidden="1">
      <c r="A34" s="1782"/>
      <c s="1782"/>
      <c s="371" t="s">
        <v>1145</v>
      </c>
      <c s="2464"/>
      <c s="2206"/>
      <c s="2385"/>
      <c s="2429"/>
      <c s="1502"/>
      <c s="653" t="s">
        <v>1146</v>
      </c>
      <c s="573"/>
      <c s="1502"/>
      <c s="216"/>
      <c s="2172"/>
      <c s="336"/>
      <c s="1626"/>
      <c s="1626"/>
      <c r="AH34" s="1633">
        <v>0</v>
      </c>
    </row>
    <row r="35" spans="1:34" s="1637" customFormat="1" ht="0.75" customHeight="1" hidden="1">
      <c r="A35" s="1782"/>
      <c s="1782"/>
      <c s="371" t="s">
        <v>1151</v>
      </c>
      <c s="2464"/>
      <c s="2206"/>
      <c s="2385"/>
      <c s="402"/>
      <c s="1502"/>
      <c s="653"/>
      <c s="573"/>
      <c s="1502"/>
      <c s="216"/>
      <c s="2172"/>
      <c s="336"/>
      <c s="1626"/>
      <c s="1626"/>
      <c r="AH35" s="1633">
        <v>0</v>
      </c>
    </row>
    <row r="36" spans="1:34" s="1637" customFormat="1" ht="18.75" customHeight="1" hidden="1">
      <c r="A36" s="1782" t="s">
        <v>181</v>
      </c>
      <c s="1782" t="s">
        <v>182</v>
      </c>
      <c s="371"/>
      <c s="2464"/>
      <c s="2206"/>
      <c s="2385" t="str">
        <f>INDEX(PT_DIFFERENTIATION_VTAR,MATCH(A36,PT_DIFFERENTIATION_VTAR_ID,0))</f>
        <v>Тарифы на услуги по передаче тепловой энергии</v>
      </c>
      <c s="2429" t="str">
        <f>INDEX(PT_DIFFERENTIATION_NTAR,MATCH(B36,PT_DIFFERENTIATION_NTAR_ID,0))</f>
        <v/>
      </c>
      <c s="1864"/>
      <c s="1741"/>
      <c s="1775"/>
      <c s="1867"/>
      <c s="1864" t="s">
        <v>306</v>
      </c>
      <c s="2172"/>
      <c s="336"/>
      <c s="1626"/>
      <c s="1626"/>
      <c r="AH36" s="1633">
        <v>0</v>
      </c>
    </row>
    <row r="37" spans="1:34" s="1637" customFormat="1" ht="18.75" customHeight="1" hidden="1">
      <c r="A37" s="1782"/>
      <c s="1782"/>
      <c s="371" t="s">
        <v>1145</v>
      </c>
      <c s="2464"/>
      <c s="2206"/>
      <c s="2385"/>
      <c s="2429"/>
      <c s="1502"/>
      <c s="653" t="s">
        <v>1146</v>
      </c>
      <c s="573"/>
      <c s="1502"/>
      <c s="216"/>
      <c s="2172"/>
      <c s="336"/>
      <c s="1626"/>
      <c s="1626"/>
      <c r="AH37" s="1633">
        <v>0</v>
      </c>
    </row>
    <row r="38" spans="1:34" s="1637" customFormat="1" ht="0.75" customHeight="1" hidden="1">
      <c r="A38" s="1782"/>
      <c s="1782"/>
      <c s="371" t="s">
        <v>1151</v>
      </c>
      <c s="2464"/>
      <c s="2206"/>
      <c s="2385"/>
      <c s="402"/>
      <c s="1502"/>
      <c s="653"/>
      <c s="573"/>
      <c s="1502"/>
      <c s="216"/>
      <c s="2172"/>
      <c s="336"/>
      <c s="1626"/>
      <c s="1626"/>
      <c r="AH38" s="1633">
        <v>0</v>
      </c>
    </row>
    <row r="39" spans="1:34" s="1637" customFormat="1" ht="18.75" customHeight="1" hidden="1">
      <c r="A39" s="1782" t="s">
        <v>187</v>
      </c>
      <c s="1782" t="s">
        <v>188</v>
      </c>
      <c s="371"/>
      <c s="2464"/>
      <c s="2206"/>
      <c s="2385" t="str">
        <f>INDEX(PT_DIFFERENTIATION_VTAR,MATCH(A39,PT_DIFFERENTIATION_VTAR_ID,0))</f>
        <v>Тарифы на услуги по передаче теплоносителя</v>
      </c>
      <c s="2429" t="str">
        <f>INDEX(PT_DIFFERENTIATION_NTAR,MATCH(B39,PT_DIFFERENTIATION_NTAR_ID,0))</f>
        <v/>
      </c>
      <c s="1864"/>
      <c s="1741"/>
      <c s="1775"/>
      <c s="1867"/>
      <c s="1864" t="s">
        <v>306</v>
      </c>
      <c s="2172"/>
      <c s="336"/>
      <c s="1626"/>
      <c s="1626"/>
      <c r="AH39" s="1633">
        <v>0</v>
      </c>
    </row>
    <row r="40" spans="1:34" s="1637" customFormat="1" ht="18.75" customHeight="1" hidden="1">
      <c r="A40" s="1782"/>
      <c s="1782"/>
      <c s="371" t="s">
        <v>1145</v>
      </c>
      <c s="2464"/>
      <c s="2206"/>
      <c s="2385"/>
      <c s="2429"/>
      <c s="1502"/>
      <c s="653" t="s">
        <v>1146</v>
      </c>
      <c s="573"/>
      <c s="1502"/>
      <c s="216"/>
      <c s="2172"/>
      <c s="336"/>
      <c s="1626"/>
      <c s="1626"/>
      <c r="AH40" s="1633">
        <v>0</v>
      </c>
    </row>
    <row r="41" spans="1:34" s="1637" customFormat="1" ht="0.75" customHeight="1" hidden="1">
      <c r="A41" s="1782"/>
      <c s="1782"/>
      <c s="371" t="s">
        <v>1151</v>
      </c>
      <c s="2464"/>
      <c s="2206"/>
      <c s="2385"/>
      <c s="402"/>
      <c s="1502"/>
      <c s="653"/>
      <c s="573"/>
      <c s="1502"/>
      <c s="216"/>
      <c s="2172"/>
      <c s="336"/>
      <c s="1626"/>
      <c s="1626"/>
      <c r="AH41" s="1633">
        <v>0</v>
      </c>
    </row>
    <row r="42" spans="1:34" s="1637" customFormat="1" ht="18.75" customHeight="1" hidden="1">
      <c r="A42" s="1782" t="s">
        <v>193</v>
      </c>
      <c s="1782" t="s">
        <v>194</v>
      </c>
      <c s="371"/>
      <c s="2464"/>
      <c s="2206"/>
      <c s="2385" t="str">
        <f>INDEX(PT_DIFFERENTIATION_VTAR,MATCH(A42,PT_DIFFERENTIATION_VTAR_ID,0))</f>
        <v>Плата за услуги по поддержанию резервной тепловой мощности при отсутствии потребления тепловой энергии</v>
      </c>
      <c s="2429" t="str">
        <f>INDEX(PT_DIFFERENTIATION_NTAR,MATCH(B42,PT_DIFFERENTIATION_NTAR_ID,0))</f>
        <v/>
      </c>
      <c s="1864"/>
      <c s="1741"/>
      <c s="1775"/>
      <c s="1867"/>
      <c s="1864" t="s">
        <v>306</v>
      </c>
      <c s="2172"/>
      <c s="336"/>
      <c s="1626"/>
      <c s="1626"/>
      <c r="AH42" s="1633">
        <v>0</v>
      </c>
    </row>
    <row r="43" spans="1:34" s="1637" customFormat="1" ht="18.75" customHeight="1" hidden="1">
      <c r="A43" s="1782"/>
      <c s="1782"/>
      <c s="371" t="s">
        <v>1145</v>
      </c>
      <c s="2464"/>
      <c s="2206"/>
      <c s="2385"/>
      <c s="2429"/>
      <c s="1502"/>
      <c s="653" t="s">
        <v>1146</v>
      </c>
      <c s="573"/>
      <c s="1502"/>
      <c s="216"/>
      <c s="2172"/>
      <c s="336"/>
      <c s="1626"/>
      <c s="1626"/>
      <c r="AH43" s="1633">
        <v>0</v>
      </c>
    </row>
    <row r="44" spans="1:34" s="1637" customFormat="1" ht="0.75" customHeight="1" hidden="1">
      <c r="A44" s="1782"/>
      <c s="1782"/>
      <c s="371" t="s">
        <v>1151</v>
      </c>
      <c s="2464"/>
      <c s="2206"/>
      <c s="2385"/>
      <c s="402"/>
      <c s="1502"/>
      <c s="653"/>
      <c s="573"/>
      <c s="1502"/>
      <c s="216"/>
      <c s="2172"/>
      <c s="336"/>
      <c s="1626"/>
      <c s="1626"/>
      <c r="AH44" s="1633">
        <v>0</v>
      </c>
    </row>
    <row r="45" spans="1:34" s="1637" customFormat="1" ht="18.75" customHeight="1" hidden="1">
      <c r="A45" s="1782" t="s">
        <v>199</v>
      </c>
      <c s="1782" t="s">
        <v>200</v>
      </c>
      <c s="371"/>
      <c s="2464"/>
      <c s="2206"/>
      <c s="2385" t="str">
        <f>INDEX(PT_DIFFERENTIATION_VTAR,MATCH(A45,PT_DIFFERENTIATION_VTAR_ID,0))</f>
        <v>Плата за подключение (технологическое присоединение) к системе теплоснабжения</v>
      </c>
      <c s="2429" t="str">
        <f>INDEX(PT_DIFFERENTIATION_NTAR,MATCH(B45,PT_DIFFERENTIATION_NTAR_ID,0))</f>
        <v/>
      </c>
      <c s="1864"/>
      <c s="1741"/>
      <c s="1775"/>
      <c s="1867"/>
      <c s="1864" t="s">
        <v>306</v>
      </c>
      <c s="2172"/>
      <c s="336"/>
      <c s="1626"/>
      <c s="1626"/>
      <c r="AH45" s="1633">
        <v>0</v>
      </c>
    </row>
    <row r="46" spans="1:34" s="1637" customFormat="1" ht="18.75" customHeight="1" hidden="1">
      <c r="A46" s="1782"/>
      <c s="1782"/>
      <c s="371" t="s">
        <v>1145</v>
      </c>
      <c s="2464"/>
      <c s="2206"/>
      <c s="2385"/>
      <c s="2429"/>
      <c s="1502"/>
      <c s="653" t="s">
        <v>1146</v>
      </c>
      <c s="573"/>
      <c s="1502"/>
      <c s="216"/>
      <c s="2172"/>
      <c s="336"/>
      <c s="1626"/>
      <c s="1626"/>
      <c r="AH46" s="1633">
        <v>0</v>
      </c>
    </row>
    <row r="47" spans="1:34" s="1637" customFormat="1" ht="0.75" customHeight="1" hidden="1">
      <c r="A47" s="1782"/>
      <c s="1782"/>
      <c s="371" t="s">
        <v>1151</v>
      </c>
      <c s="2464"/>
      <c s="2206"/>
      <c s="2385"/>
      <c s="402"/>
      <c s="1502"/>
      <c s="653"/>
      <c s="573"/>
      <c s="1502"/>
      <c s="216"/>
      <c s="2172"/>
      <c s="336"/>
      <c s="1626"/>
      <c s="1626"/>
      <c r="AH47" s="1633">
        <v>0</v>
      </c>
    </row>
    <row r="48" spans="1:34" s="1637" customFormat="1" ht="18.75" customHeight="1" hidden="1">
      <c r="A48" s="1782" t="s">
        <v>205</v>
      </c>
      <c s="1782" t="s">
        <v>206</v>
      </c>
      <c s="371"/>
      <c s="2464"/>
      <c s="2206"/>
      <c s="2385" t="str">
        <f>INDEX(PT_DIFFERENTIATION_VTAR,MATCH(A48,PT_DIFFERENTIATION_VTAR_ID,0))</f>
        <v>Плата за подключение (технологическое присоединение) к системе теплоснабжения (индивидуальная)</v>
      </c>
      <c s="2429" t="str">
        <f>INDEX(PT_DIFFERENTIATION_NTAR,MATCH(B48,PT_DIFFERENTIATION_NTAR_ID,0))</f>
        <v/>
      </c>
      <c s="1991"/>
      <c s="1741"/>
      <c s="1775"/>
      <c s="1867"/>
      <c s="1991" t="s">
        <v>306</v>
      </c>
      <c s="2172"/>
      <c s="336"/>
      <c s="1626"/>
      <c s="1626"/>
      <c r="AH48" s="1633">
        <v>0</v>
      </c>
    </row>
    <row r="49" spans="1:34" s="1637" customFormat="1" ht="18.75" customHeight="1" hidden="1">
      <c r="A49" s="1782"/>
      <c s="1782"/>
      <c s="371" t="s">
        <v>1145</v>
      </c>
      <c s="2464"/>
      <c s="2206"/>
      <c s="2385"/>
      <c s="2429"/>
      <c s="1502"/>
      <c s="653" t="s">
        <v>1146</v>
      </c>
      <c s="573"/>
      <c s="1502"/>
      <c s="216"/>
      <c s="2172"/>
      <c s="336"/>
      <c s="1626"/>
      <c s="1626"/>
      <c r="AH49" s="1633">
        <v>0</v>
      </c>
    </row>
    <row r="50" spans="1:34" s="1637" customFormat="1" ht="0.75" customHeight="1" hidden="1">
      <c r="A50" s="1782"/>
      <c s="1782"/>
      <c s="371" t="s">
        <v>1151</v>
      </c>
      <c s="2464"/>
      <c s="2206"/>
      <c s="2385"/>
      <c s="402"/>
      <c s="1502"/>
      <c s="653"/>
      <c s="573"/>
      <c s="1502"/>
      <c s="216"/>
      <c s="2172"/>
      <c s="336"/>
      <c s="1626"/>
      <c s="1626"/>
      <c r="AH50" s="1633">
        <v>0</v>
      </c>
    </row>
    <row r="51" spans="1:34" s="1637" customFormat="1" ht="18.75" customHeight="1" hidden="1">
      <c r="A51" s="1782" t="s">
        <v>225</v>
      </c>
      <c s="1782" t="s">
        <v>226</v>
      </c>
      <c s="371"/>
      <c s="2464"/>
      <c s="2206"/>
      <c s="2385" t="str">
        <f>INDEX(PT_DIFFERENTIATION_VTAR,MATCH(A51,PT_DIFFERENTIATION_VTAR_ID,0))</f>
        <v>Тариф на питьевую воду (питьевое водоснабжение)</v>
      </c>
      <c s="2429" t="str">
        <f>INDEX(PT_DIFFERENTIATION_NTAR,MATCH(B51,PT_DIFFERENTIATION_NTAR_ID,0))</f>
        <v/>
      </c>
      <c s="1864"/>
      <c s="1741"/>
      <c s="1775"/>
      <c s="1867"/>
      <c s="1864" t="s">
        <v>306</v>
      </c>
      <c s="2172"/>
      <c s="336"/>
      <c s="1626"/>
      <c s="1626"/>
      <c r="AH51" s="1633">
        <v>0</v>
      </c>
    </row>
    <row r="52" spans="1:34" s="1637" customFormat="1" ht="18.75" customHeight="1" hidden="1">
      <c r="A52" s="1782"/>
      <c s="1782"/>
      <c s="371" t="s">
        <v>1145</v>
      </c>
      <c s="2464"/>
      <c s="2206"/>
      <c s="2385"/>
      <c s="2429"/>
      <c s="1502"/>
      <c s="653" t="s">
        <v>1146</v>
      </c>
      <c s="573"/>
      <c s="1502"/>
      <c s="216"/>
      <c s="2172"/>
      <c s="336"/>
      <c s="1626"/>
      <c s="1626"/>
      <c r="AH52" s="1633">
        <v>0</v>
      </c>
    </row>
    <row r="53" spans="1:34" s="1637" customFormat="1" ht="0.75" customHeight="1" hidden="1">
      <c r="A53" s="1782"/>
      <c s="1782"/>
      <c s="371" t="s">
        <v>1151</v>
      </c>
      <c s="2464"/>
      <c s="2206"/>
      <c s="2385"/>
      <c s="402"/>
      <c s="1502"/>
      <c s="653"/>
      <c s="573"/>
      <c s="1502"/>
      <c s="216"/>
      <c s="2172"/>
      <c s="336"/>
      <c s="1626"/>
      <c s="1626"/>
      <c r="AH53" s="1633">
        <v>0</v>
      </c>
    </row>
    <row r="54" spans="1:34" s="1637" customFormat="1" ht="18.75" customHeight="1" hidden="1">
      <c r="A54" s="1782" t="s">
        <v>230</v>
      </c>
      <c s="1782" t="s">
        <v>231</v>
      </c>
      <c s="371"/>
      <c s="2464"/>
      <c s="2206"/>
      <c s="2385" t="str">
        <f>INDEX(PT_DIFFERENTIATION_VTAR,MATCH(A54,PT_DIFFERENTIATION_VTAR_ID,0))</f>
        <v>Тариф на техническую воду</v>
      </c>
      <c s="2429" t="str">
        <f>INDEX(PT_DIFFERENTIATION_NTAR,MATCH(B54,PT_DIFFERENTIATION_NTAR_ID,0))</f>
        <v/>
      </c>
      <c s="1864"/>
      <c s="1741"/>
      <c s="1775"/>
      <c s="1867"/>
      <c s="1864" t="s">
        <v>306</v>
      </c>
      <c s="2172"/>
      <c s="336"/>
      <c s="1626"/>
      <c s="1626"/>
      <c r="AH54" s="1633">
        <v>0</v>
      </c>
    </row>
    <row r="55" spans="1:34" s="1637" customFormat="1" ht="18.75" customHeight="1" hidden="1">
      <c r="A55" s="1782"/>
      <c s="1782"/>
      <c s="371" t="s">
        <v>1145</v>
      </c>
      <c s="2464"/>
      <c s="2206"/>
      <c s="2385"/>
      <c s="2429"/>
      <c s="1502"/>
      <c s="653" t="s">
        <v>1146</v>
      </c>
      <c s="573"/>
      <c s="1502"/>
      <c s="216"/>
      <c s="2172"/>
      <c s="336"/>
      <c s="1626"/>
      <c s="1626"/>
      <c r="AH55" s="1633">
        <v>0</v>
      </c>
    </row>
    <row r="56" spans="1:34" s="1637" customFormat="1" ht="0.75" customHeight="1" hidden="1">
      <c r="A56" s="1782"/>
      <c s="1782"/>
      <c s="371" t="s">
        <v>1151</v>
      </c>
      <c s="2464"/>
      <c s="2206"/>
      <c s="2385"/>
      <c s="402"/>
      <c s="1502"/>
      <c s="653"/>
      <c s="573"/>
      <c s="1502"/>
      <c s="216"/>
      <c s="2172"/>
      <c s="336"/>
      <c s="1626"/>
      <c s="1626"/>
      <c r="AH56" s="1633">
        <v>0</v>
      </c>
    </row>
    <row r="57" spans="1:34" s="1637" customFormat="1" ht="18.75" customHeight="1" hidden="1">
      <c r="A57" s="1782" t="s">
        <v>235</v>
      </c>
      <c s="1782" t="s">
        <v>236</v>
      </c>
      <c s="371"/>
      <c s="2464"/>
      <c s="2206"/>
      <c s="2385" t="str">
        <f>INDEX(PT_DIFFERENTIATION_VTAR,MATCH(A57,PT_DIFFERENTIATION_VTAR_ID,0))</f>
        <v>Тариф на транспортировку воды</v>
      </c>
      <c s="2429" t="str">
        <f>INDEX(PT_DIFFERENTIATION_NTAR,MATCH(B57,PT_DIFFERENTIATION_NTAR_ID,0))</f>
        <v/>
      </c>
      <c s="1864"/>
      <c s="1741"/>
      <c s="1775"/>
      <c s="1867"/>
      <c s="1864" t="s">
        <v>306</v>
      </c>
      <c s="2172"/>
      <c s="336"/>
      <c s="1626"/>
      <c s="1626"/>
      <c r="AH57" s="1633">
        <v>0</v>
      </c>
    </row>
    <row r="58" spans="1:34" s="1637" customFormat="1" ht="18.75" customHeight="1" hidden="1">
      <c r="A58" s="1782"/>
      <c s="1782"/>
      <c s="371" t="s">
        <v>1145</v>
      </c>
      <c s="2464"/>
      <c s="2206"/>
      <c s="2385"/>
      <c s="2429"/>
      <c s="1502"/>
      <c s="653" t="s">
        <v>1146</v>
      </c>
      <c s="573"/>
      <c s="1502"/>
      <c s="216"/>
      <c s="2172"/>
      <c s="336"/>
      <c s="1626"/>
      <c s="1626"/>
      <c r="AH58" s="1633">
        <v>0</v>
      </c>
    </row>
    <row r="59" spans="1:34" s="1637" customFormat="1" ht="0.75" customHeight="1" hidden="1">
      <c r="A59" s="1782"/>
      <c s="1782"/>
      <c s="371" t="s">
        <v>1151</v>
      </c>
      <c s="2464"/>
      <c s="2206"/>
      <c s="2385"/>
      <c s="402"/>
      <c s="1502"/>
      <c s="653"/>
      <c s="573"/>
      <c s="1502"/>
      <c s="216"/>
      <c s="2172"/>
      <c s="336"/>
      <c s="1626"/>
      <c s="1626"/>
      <c r="AH59" s="1633">
        <v>0</v>
      </c>
    </row>
    <row r="60" spans="1:34" s="1637" customFormat="1" ht="18.75" customHeight="1" hidden="1">
      <c r="A60" s="1782" t="s">
        <v>240</v>
      </c>
      <c s="1782" t="s">
        <v>241</v>
      </c>
      <c s="371"/>
      <c s="2464"/>
      <c s="2206"/>
      <c s="2385" t="str">
        <f>INDEX(PT_DIFFERENTIATION_VTAR,MATCH(A60,PT_DIFFERENTIATION_VTAR_ID,0))</f>
        <v>Тариф на подвоз воды</v>
      </c>
      <c s="2429" t="str">
        <f>INDEX(PT_DIFFERENTIATION_NTAR,MATCH(B60,PT_DIFFERENTIATION_NTAR_ID,0))</f>
        <v/>
      </c>
      <c s="1864"/>
      <c s="1741"/>
      <c s="1775"/>
      <c s="1867"/>
      <c s="1864" t="s">
        <v>306</v>
      </c>
      <c s="2172"/>
      <c s="336"/>
      <c s="1626"/>
      <c s="1626"/>
      <c r="AH60" s="1633">
        <v>0</v>
      </c>
    </row>
    <row r="61" spans="1:34" s="1637" customFormat="1" ht="18.75" customHeight="1" hidden="1">
      <c r="A61" s="1782"/>
      <c s="1782"/>
      <c s="371" t="s">
        <v>1145</v>
      </c>
      <c s="2464"/>
      <c s="2206"/>
      <c s="2385"/>
      <c s="2429"/>
      <c s="1502"/>
      <c s="653" t="s">
        <v>1146</v>
      </c>
      <c s="573"/>
      <c s="1502"/>
      <c s="216"/>
      <c s="2172"/>
      <c s="336"/>
      <c s="1626"/>
      <c s="1626"/>
      <c r="AH61" s="1633">
        <v>0</v>
      </c>
    </row>
    <row r="62" spans="1:34" s="1637" customFormat="1" ht="0.75" customHeight="1" hidden="1">
      <c r="A62" s="1782"/>
      <c s="1782"/>
      <c s="371" t="s">
        <v>1151</v>
      </c>
      <c s="2464"/>
      <c s="2206"/>
      <c s="2385"/>
      <c s="402"/>
      <c s="1502"/>
      <c s="653"/>
      <c s="573"/>
      <c s="1502"/>
      <c s="216"/>
      <c s="2172"/>
      <c s="336"/>
      <c s="1626"/>
      <c s="1626"/>
      <c r="AH62" s="1633">
        <v>0</v>
      </c>
    </row>
    <row r="63" spans="1:34" s="1637" customFormat="1" ht="18.75" customHeight="1" hidden="1">
      <c r="A63" s="1782" t="s">
        <v>245</v>
      </c>
      <c s="1782" t="s">
        <v>246</v>
      </c>
      <c s="371"/>
      <c s="2464"/>
      <c s="2206"/>
      <c s="2385" t="str">
        <f>INDEX(PT_DIFFERENTIATION_VTAR,MATCH(A63,PT_DIFFERENTIATION_VTAR_ID,0))</f>
        <v>Тариф на подключение (технологическое присоединение) к централизованной системе холодного водоснабжения</v>
      </c>
      <c s="2429" t="str">
        <f>INDEX(PT_DIFFERENTIATION_NTAR,MATCH(B63,PT_DIFFERENTIATION_NTAR_ID,0))</f>
        <v/>
      </c>
      <c s="1864"/>
      <c s="1741"/>
      <c s="1775"/>
      <c s="1867"/>
      <c s="1864" t="s">
        <v>306</v>
      </c>
      <c s="2172"/>
      <c s="336"/>
      <c s="1626"/>
      <c s="1626"/>
      <c r="AH63" s="1633">
        <v>0</v>
      </c>
    </row>
    <row r="64" spans="1:34" s="1637" customFormat="1" ht="18.75" customHeight="1" hidden="1">
      <c r="A64" s="1782"/>
      <c s="1782"/>
      <c s="371" t="s">
        <v>1145</v>
      </c>
      <c s="2464"/>
      <c s="2206"/>
      <c s="2385"/>
      <c s="2429"/>
      <c s="1502"/>
      <c s="653" t="s">
        <v>1146</v>
      </c>
      <c s="573"/>
      <c s="1502"/>
      <c s="216"/>
      <c s="2172"/>
      <c s="336"/>
      <c s="1626"/>
      <c s="1626"/>
      <c r="AH64" s="1633">
        <v>0</v>
      </c>
    </row>
    <row r="65" spans="1:34" s="1637" customFormat="1" ht="0.75" customHeight="1" hidden="1">
      <c r="A65" s="1782"/>
      <c s="1782"/>
      <c s="371" t="s">
        <v>1151</v>
      </c>
      <c s="2464"/>
      <c s="2206"/>
      <c s="2385"/>
      <c s="402"/>
      <c s="1502"/>
      <c s="653"/>
      <c s="573"/>
      <c s="1502"/>
      <c s="216"/>
      <c s="2172"/>
      <c s="336"/>
      <c s="1626"/>
      <c s="1626"/>
      <c r="AH65" s="1633">
        <v>0</v>
      </c>
    </row>
    <row r="66" spans="1:34" s="1637" customFormat="1" ht="18.75" customHeight="1" hidden="1">
      <c r="A66" s="1782" t="s">
        <v>250</v>
      </c>
      <c s="1782" t="s">
        <v>251</v>
      </c>
      <c s="371"/>
      <c s="2464"/>
      <c s="2206"/>
      <c s="2385" t="str">
        <f>INDEX(PT_DIFFERENTIATION_VTAR,MATCH(A66,PT_DIFFERENTIATION_VTAR_ID,0))</f>
        <v>Тариф на горячую воду (горячее водоснабжение)</v>
      </c>
      <c s="2429" t="str">
        <f>INDEX(PT_DIFFERENTIATION_NTAR,MATCH(B66,PT_DIFFERENTIATION_NTAR_ID,0))</f>
        <v/>
      </c>
      <c s="1864"/>
      <c s="1741"/>
      <c s="1775"/>
      <c s="1867"/>
      <c s="1864" t="s">
        <v>306</v>
      </c>
      <c s="2172"/>
      <c s="336"/>
      <c s="1626"/>
      <c s="1626"/>
      <c r="AH66" s="1633">
        <v>0</v>
      </c>
    </row>
    <row r="67" spans="1:34" s="1637" customFormat="1" ht="18.75" customHeight="1" hidden="1">
      <c r="A67" s="1782"/>
      <c s="1782"/>
      <c s="371" t="s">
        <v>1145</v>
      </c>
      <c s="2464"/>
      <c s="2206"/>
      <c s="2385"/>
      <c s="2429"/>
      <c s="1502"/>
      <c s="653" t="s">
        <v>1146</v>
      </c>
      <c s="573"/>
      <c s="1502"/>
      <c s="216"/>
      <c s="2172"/>
      <c s="336"/>
      <c s="1626"/>
      <c s="1626"/>
      <c r="AH67" s="1633">
        <v>0</v>
      </c>
    </row>
    <row r="68" spans="1:34" s="1637" customFormat="1" ht="0.75" customHeight="1" hidden="1">
      <c r="A68" s="1782"/>
      <c s="1782"/>
      <c s="371" t="s">
        <v>1151</v>
      </c>
      <c s="2464"/>
      <c s="2206"/>
      <c s="2385"/>
      <c s="402"/>
      <c s="1502"/>
      <c s="653"/>
      <c s="573"/>
      <c s="1502"/>
      <c s="216"/>
      <c s="2172"/>
      <c s="336"/>
      <c s="1626"/>
      <c s="1626"/>
      <c r="AH68" s="1633">
        <v>0</v>
      </c>
    </row>
    <row r="69" spans="1:34" s="1637" customFormat="1" ht="18.75" customHeight="1" hidden="1">
      <c r="A69" s="1782" t="s">
        <v>255</v>
      </c>
      <c s="1782" t="s">
        <v>256</v>
      </c>
      <c s="371"/>
      <c s="2464"/>
      <c s="2206"/>
      <c s="2385" t="str">
        <f>INDEX(PT_DIFFERENTIATION_VTAR,MATCH(A69,PT_DIFFERENTIATION_VTAR_ID,0))</f>
        <v>Тариф на транспортировку горячей воды</v>
      </c>
      <c s="2429" t="str">
        <f>INDEX(PT_DIFFERENTIATION_NTAR,MATCH(B69,PT_DIFFERENTIATION_NTAR_ID,0))</f>
        <v/>
      </c>
      <c s="1864"/>
      <c s="1741"/>
      <c s="1775"/>
      <c s="1867"/>
      <c s="1864" t="s">
        <v>306</v>
      </c>
      <c s="2172"/>
      <c s="336"/>
      <c s="1626"/>
      <c s="1626"/>
      <c r="AH69" s="1633">
        <v>0</v>
      </c>
    </row>
    <row r="70" spans="1:34" s="1637" customFormat="1" ht="18.75" customHeight="1" hidden="1">
      <c r="A70" s="1782"/>
      <c s="1782"/>
      <c s="371" t="s">
        <v>1145</v>
      </c>
      <c s="2464"/>
      <c s="2206"/>
      <c s="2385"/>
      <c s="2429"/>
      <c s="1502"/>
      <c s="653" t="s">
        <v>1146</v>
      </c>
      <c s="573"/>
      <c s="1502"/>
      <c s="216"/>
      <c s="2172"/>
      <c s="336"/>
      <c s="1626"/>
      <c s="1626"/>
      <c r="AH70" s="1633">
        <v>0</v>
      </c>
    </row>
    <row r="71" spans="1:34" s="1637" customFormat="1" ht="0.75" customHeight="1" hidden="1">
      <c r="A71" s="1782"/>
      <c s="1782"/>
      <c s="371" t="s">
        <v>1151</v>
      </c>
      <c s="2464"/>
      <c s="2206"/>
      <c s="2385"/>
      <c s="402"/>
      <c s="1502"/>
      <c s="653"/>
      <c s="573"/>
      <c s="1502"/>
      <c s="216"/>
      <c s="2172"/>
      <c s="336"/>
      <c s="1626"/>
      <c s="1626"/>
      <c r="AH71" s="1633">
        <v>0</v>
      </c>
    </row>
    <row r="72" spans="1:34" s="1637" customFormat="1" ht="18.75" customHeight="1" hidden="1">
      <c r="A72" s="1782" t="s">
        <v>260</v>
      </c>
      <c s="1782" t="s">
        <v>261</v>
      </c>
      <c s="371"/>
      <c s="2464"/>
      <c s="2206"/>
      <c s="2385" t="str">
        <f>INDEX(PT_DIFFERENTIATION_VTAR,MATCH(A72,PT_DIFFERENTIATION_VTAR_ID,0))</f>
        <v>Тариф на подключение (технологическое присоединение) к централизованной системе горячего водоснабжения</v>
      </c>
      <c s="2429" t="str">
        <f>INDEX(PT_DIFFERENTIATION_NTAR,MATCH(B72,PT_DIFFERENTIATION_NTAR_ID,0))</f>
        <v/>
      </c>
      <c s="1864"/>
      <c s="1741"/>
      <c s="1775"/>
      <c s="1867"/>
      <c s="1864" t="s">
        <v>306</v>
      </c>
      <c s="2172"/>
      <c s="336"/>
      <c s="1626"/>
      <c s="1626"/>
      <c r="AH72" s="1633">
        <v>0</v>
      </c>
    </row>
    <row r="73" spans="1:34" s="1637" customFormat="1" ht="18.75" customHeight="1" hidden="1">
      <c r="A73" s="1782"/>
      <c s="1782"/>
      <c s="371" t="s">
        <v>1145</v>
      </c>
      <c s="2464"/>
      <c s="2206"/>
      <c s="2385"/>
      <c s="2429"/>
      <c s="1502"/>
      <c s="653" t="s">
        <v>1146</v>
      </c>
      <c s="573"/>
      <c s="1502"/>
      <c s="216"/>
      <c s="2172"/>
      <c s="336"/>
      <c s="1626"/>
      <c s="1626"/>
      <c r="AH73" s="1633">
        <v>0</v>
      </c>
    </row>
    <row r="74" spans="1:34" s="1637" customFormat="1" ht="0.75" customHeight="1" hidden="1">
      <c r="A74" s="1782"/>
      <c s="1782"/>
      <c s="371" t="s">
        <v>1151</v>
      </c>
      <c s="2464"/>
      <c s="2206"/>
      <c s="2385"/>
      <c s="402"/>
      <c s="1502"/>
      <c s="653"/>
      <c s="573"/>
      <c s="1502"/>
      <c s="216"/>
      <c s="2172"/>
      <c s="336"/>
      <c s="1626"/>
      <c s="1626"/>
      <c r="AH74" s="1633">
        <v>0</v>
      </c>
    </row>
    <row r="75" spans="1:34" s="1637" customFormat="1" ht="18.75" customHeight="1" hidden="1">
      <c r="A75" s="1782" t="s">
        <v>265</v>
      </c>
      <c s="1782" t="s">
        <v>266</v>
      </c>
      <c s="371"/>
      <c s="2464"/>
      <c s="2206"/>
      <c s="2385" t="str">
        <f>INDEX(PT_DIFFERENTIATION_VTAR,MATCH(A75,PT_DIFFERENTIATION_VTAR_ID,0))</f>
        <v>Тариф на водоотведение</v>
      </c>
      <c s="2429" t="str">
        <f>INDEX(PT_DIFFERENTIATION_NTAR,MATCH(B75,PT_DIFFERENTIATION_NTAR_ID,0))</f>
        <v/>
      </c>
      <c s="1864"/>
      <c s="1741"/>
      <c s="1775"/>
      <c s="1867"/>
      <c s="1864" t="s">
        <v>306</v>
      </c>
      <c s="2172"/>
      <c s="336"/>
      <c s="1626"/>
      <c s="1626"/>
      <c r="AH75" s="1633">
        <v>0</v>
      </c>
    </row>
    <row r="76" spans="1:34" s="1637" customFormat="1" ht="18.75" customHeight="1" hidden="1">
      <c r="A76" s="1782"/>
      <c s="1782"/>
      <c s="371" t="s">
        <v>1145</v>
      </c>
      <c s="2464"/>
      <c s="2206"/>
      <c s="2385"/>
      <c s="2429"/>
      <c s="1502"/>
      <c s="653" t="s">
        <v>1146</v>
      </c>
      <c s="573"/>
      <c s="1502"/>
      <c s="216"/>
      <c s="2172"/>
      <c s="336"/>
      <c s="1626"/>
      <c s="1626"/>
      <c r="AH76" s="1633">
        <v>0</v>
      </c>
    </row>
    <row r="77" spans="1:34" s="1637" customFormat="1" ht="0.75" customHeight="1" hidden="1">
      <c r="A77" s="1782"/>
      <c s="1782"/>
      <c s="371" t="s">
        <v>1151</v>
      </c>
      <c s="2464"/>
      <c s="2206"/>
      <c s="2385"/>
      <c s="402"/>
      <c s="1502"/>
      <c s="653"/>
      <c s="573"/>
      <c s="1502"/>
      <c s="216"/>
      <c s="2172"/>
      <c s="336"/>
      <c s="1626"/>
      <c s="1626"/>
      <c r="AH77" s="1633">
        <v>0</v>
      </c>
    </row>
    <row r="78" spans="1:34" s="1637" customFormat="1" ht="18.75" customHeight="1" hidden="1">
      <c r="A78" s="1782" t="s">
        <v>270</v>
      </c>
      <c s="1782" t="s">
        <v>271</v>
      </c>
      <c s="371"/>
      <c s="2464"/>
      <c s="2206"/>
      <c s="2385" t="str">
        <f>INDEX(PT_DIFFERENTIATION_VTAR,MATCH(A78,PT_DIFFERENTIATION_VTAR_ID,0))</f>
        <v>Тариф на транспортировку сточных вод</v>
      </c>
      <c s="2429" t="str">
        <f>INDEX(PT_DIFFERENTIATION_NTAR,MATCH(B78,PT_DIFFERENTIATION_NTAR_ID,0))</f>
        <v/>
      </c>
      <c s="1864"/>
      <c s="1741"/>
      <c s="1775"/>
      <c s="1867"/>
      <c s="1864" t="s">
        <v>306</v>
      </c>
      <c s="2172"/>
      <c s="336"/>
      <c s="1626"/>
      <c s="1626"/>
      <c r="AH78" s="1633">
        <v>0</v>
      </c>
    </row>
    <row r="79" spans="1:34" s="1637" customFormat="1" ht="18.75" customHeight="1" hidden="1">
      <c r="A79" s="1782"/>
      <c s="1782"/>
      <c s="371" t="s">
        <v>1145</v>
      </c>
      <c s="2464"/>
      <c s="2206"/>
      <c s="2385"/>
      <c s="2429"/>
      <c s="1502"/>
      <c s="653" t="s">
        <v>1146</v>
      </c>
      <c s="573"/>
      <c s="1502"/>
      <c s="216"/>
      <c s="2172"/>
      <c s="336"/>
      <c s="1626"/>
      <c s="1626"/>
      <c r="AH79" s="1633">
        <v>0</v>
      </c>
    </row>
    <row r="80" spans="1:34" s="1637" customFormat="1" ht="0.75" customHeight="1" hidden="1">
      <c r="A80" s="1782"/>
      <c s="1782"/>
      <c s="371" t="s">
        <v>1151</v>
      </c>
      <c s="2464"/>
      <c s="2206"/>
      <c s="2385"/>
      <c s="402"/>
      <c s="1502"/>
      <c s="653"/>
      <c s="573"/>
      <c s="1502"/>
      <c s="216"/>
      <c s="2172"/>
      <c s="336"/>
      <c s="1626"/>
      <c s="1626"/>
      <c r="AH80" s="1633">
        <v>0</v>
      </c>
    </row>
    <row r="81" spans="1:34" s="1637" customFormat="1" ht="18.75" customHeight="1" hidden="1">
      <c r="A81" s="1782" t="s">
        <v>275</v>
      </c>
      <c s="1782" t="s">
        <v>276</v>
      </c>
      <c s="371"/>
      <c s="2464"/>
      <c s="2206"/>
      <c s="2385" t="str">
        <f>INDEX(PT_DIFFERENTIATION_VTAR,MATCH(A81,PT_DIFFERENTIATION_VTAR_ID,0))</f>
        <v>Тариф на подключение (технологическое присоединение) к централизованной системе водоотведения</v>
      </c>
      <c s="2429" t="str">
        <f>INDEX(PT_DIFFERENTIATION_NTAR,MATCH(B81,PT_DIFFERENTIATION_NTAR_ID,0))</f>
        <v/>
      </c>
      <c s="1864"/>
      <c s="1741"/>
      <c s="1775"/>
      <c s="1867"/>
      <c s="1864" t="s">
        <v>306</v>
      </c>
      <c s="2172"/>
      <c s="336"/>
      <c s="1626"/>
      <c s="1626"/>
      <c r="AH81" s="1633">
        <v>0</v>
      </c>
    </row>
    <row r="82" spans="1:34" s="1637" customFormat="1" ht="18.75" customHeight="1" hidden="1">
      <c r="A82" s="1782"/>
      <c s="1782"/>
      <c s="371" t="s">
        <v>1145</v>
      </c>
      <c s="2464"/>
      <c s="2206"/>
      <c s="2385"/>
      <c s="2429"/>
      <c s="1502"/>
      <c s="653" t="s">
        <v>1146</v>
      </c>
      <c s="573"/>
      <c s="1502"/>
      <c s="216"/>
      <c s="2172"/>
      <c s="336"/>
      <c s="1626"/>
      <c s="1626"/>
      <c r="AH82" s="1633">
        <v>0</v>
      </c>
    </row>
    <row r="83" spans="1:34" s="1637" customFormat="1" ht="1.05" customHeight="1">
      <c r="A83" s="1782"/>
      <c s="1782"/>
      <c s="371" t="s">
        <v>1151</v>
      </c>
      <c s="2464"/>
      <c s="2206"/>
      <c s="2385"/>
      <c s="402"/>
      <c s="1502"/>
      <c s="653"/>
      <c s="573"/>
      <c s="1502"/>
      <c s="216"/>
      <c s="2172"/>
      <c s="336"/>
      <c s="1626"/>
      <c s="1626"/>
      <c r="AH83" s="1633">
        <v>1</v>
      </c>
    </row>
    <row r="84" spans="1:34" ht="19.95" customHeight="1">
      <c r="A84" s="1782"/>
      <c s="1782"/>
      <c r="D84" s="378"/>
      <c s="149" t="s">
        <v>110</v>
      </c>
      <c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2462"/>
      <c s="2462"/>
      <c s="2462"/>
      <c s="2462"/>
      <c s="2462"/>
      <c s="2462"/>
      <c s="299"/>
      <c s="336"/>
      <c r="AH84" s="376">
        <v>19</v>
      </c>
    </row>
    <row r="85" spans="1:34" ht="35.7" customHeight="1">
      <c r="A85" s="1782"/>
      <c s="1782"/>
      <c r="D85" s="378"/>
      <c s="401"/>
      <c s="200" t="s">
        <v>306</v>
      </c>
      <c s="200" t="s">
        <v>306</v>
      </c>
      <c s="2220" t="s">
        <v>306</v>
      </c>
      <c s="2222"/>
      <c s="200" t="s">
        <v>306</v>
      </c>
      <c s="200" t="s">
        <v>306</v>
      </c>
      <c s="403"/>
      <c s="347" t="s">
        <v>1152</v>
      </c>
      <c s="336"/>
      <c r="AH85" s="376">
        <v>34</v>
      </c>
    </row>
    <row r="86" spans="1:34" ht="19.95" customHeight="1">
      <c r="A86" s="1782"/>
      <c s="1782"/>
      <c r="D86" s="378"/>
      <c s="149" t="s">
        <v>89</v>
      </c>
      <c s="2462" t="s">
        <v>1153</v>
      </c>
      <c s="2462"/>
      <c s="2462"/>
      <c s="2462"/>
      <c s="2462"/>
      <c s="2462"/>
      <c s="2462"/>
      <c s="299"/>
      <c s="336"/>
      <c r="AH86" s="376">
        <v>19</v>
      </c>
    </row>
    <row r="87" spans="1:34" s="1637" customFormat="1" ht="60.75" customHeight="1" hidden="1">
      <c r="A87" s="1782" t="s">
        <v>157</v>
      </c>
      <c s="1782" t="s">
        <v>158</v>
      </c>
      <c s="371"/>
      <c s="2464"/>
      <c s="2206"/>
      <c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INDEX(PT_DIFFERENTIATION_NTAR,MATCH(B87,PT_DIFFERENTIATION_NTAR_ID,0))</f>
        <v/>
      </c>
      <c s="1864"/>
      <c s="1741"/>
      <c s="1775"/>
      <c s="1780"/>
      <c s="1864" t="s">
        <v>306</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6"/>
      <c s="1626"/>
      <c s="1626"/>
      <c r="AH87" s="1633">
        <v>0</v>
      </c>
    </row>
    <row r="88" spans="1:34" s="1637" customFormat="1" ht="18.75" customHeight="1" hidden="1">
      <c r="A88" s="1782"/>
      <c s="1782"/>
      <c s="371" t="s">
        <v>1147</v>
      </c>
      <c s="2464"/>
      <c s="2206"/>
      <c s="2385"/>
      <c s="2429"/>
      <c s="1502"/>
      <c s="653" t="s">
        <v>1146</v>
      </c>
      <c s="573"/>
      <c s="1502"/>
      <c s="216"/>
      <c s="2172"/>
      <c s="336"/>
      <c s="1626"/>
      <c s="1626"/>
      <c r="AH88" s="1633">
        <v>0</v>
      </c>
    </row>
    <row r="89" spans="1:34" s="1637" customFormat="1" ht="0.75" customHeight="1" hidden="1">
      <c r="A89" s="1782"/>
      <c s="1782"/>
      <c s="371" t="s">
        <v>1154</v>
      </c>
      <c s="2464"/>
      <c s="2206"/>
      <c s="2385"/>
      <c s="402"/>
      <c s="1502"/>
      <c s="653"/>
      <c s="573"/>
      <c s="1502"/>
      <c s="216"/>
      <c s="2172"/>
      <c s="336"/>
      <c s="1626"/>
      <c s="1626"/>
      <c r="AH89" s="1633">
        <v>0</v>
      </c>
    </row>
    <row r="90" spans="1:34" s="1637" customFormat="1" ht="45" customHeight="1" hidden="1">
      <c r="A90" s="1782" t="s">
        <v>162</v>
      </c>
      <c s="1782" t="s">
        <v>163</v>
      </c>
      <c s="371"/>
      <c s="2464"/>
      <c s="2206"/>
      <c s="2385" t="str">
        <f>INDEX(PT_DIFFERENTIATION_VTAR,MATCH(A90,PT_DIFFERENTIATION_VTAR_ID,0))</f>
        <v/>
      </c>
      <c s="2429" t="str">
        <f>INDEX(PT_DIFFERENTIATION_NTAR,MATCH(B90,PT_DIFFERENTIATION_NTAR_ID,0))</f>
        <v/>
      </c>
      <c s="1864"/>
      <c s="1741"/>
      <c s="1775"/>
      <c s="1780"/>
      <c s="1864" t="s">
        <v>306</v>
      </c>
      <c s="2173"/>
      <c s="336"/>
      <c s="1626"/>
      <c s="1626"/>
      <c r="AH90" s="1633">
        <v>0</v>
      </c>
    </row>
    <row r="91" spans="1:34" s="1637" customFormat="1" ht="18.75" customHeight="1" hidden="1">
      <c r="A91" s="1782"/>
      <c s="1782"/>
      <c s="371" t="s">
        <v>1147</v>
      </c>
      <c s="2464"/>
      <c s="2206"/>
      <c s="2385"/>
      <c s="2429"/>
      <c s="1502"/>
      <c s="653" t="s">
        <v>1146</v>
      </c>
      <c s="573"/>
      <c s="1502"/>
      <c s="216"/>
      <c s="1863"/>
      <c s="336"/>
      <c s="1626"/>
      <c s="1626"/>
      <c r="AH91" s="1633">
        <v>0</v>
      </c>
    </row>
    <row r="92" spans="1:34" s="1637" customFormat="1" ht="0.75" customHeight="1" hidden="1">
      <c r="A92" s="1782"/>
      <c s="1782"/>
      <c s="371" t="s">
        <v>1154</v>
      </c>
      <c s="2464"/>
      <c s="2206"/>
      <c s="2385"/>
      <c s="402"/>
      <c s="1502"/>
      <c s="653"/>
      <c s="573"/>
      <c s="1502"/>
      <c s="216"/>
      <c s="343"/>
      <c s="336"/>
      <c s="1626"/>
      <c s="1626"/>
      <c r="AH92" s="1633">
        <v>0</v>
      </c>
    </row>
    <row r="93" spans="1:34" s="1637" customFormat="1" ht="45" customHeight="1" hidden="1">
      <c r="A93" s="1782" t="s">
        <v>169</v>
      </c>
      <c s="1782" t="s">
        <v>170</v>
      </c>
      <c s="371"/>
      <c s="2464"/>
      <c s="2206"/>
      <c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INDEX(PT_DIFFERENTIATION_NTAR,MATCH(B93,PT_DIFFERENTIATION_NTAR_ID,0))</f>
        <v/>
      </c>
      <c s="1864"/>
      <c s="1741"/>
      <c s="1775"/>
      <c s="1780"/>
      <c s="1864" t="s">
        <v>306</v>
      </c>
      <c s="343"/>
      <c s="336"/>
      <c s="1626"/>
      <c s="1626"/>
      <c r="AH93" s="1633">
        <v>0</v>
      </c>
    </row>
    <row r="94" spans="1:34" s="1637" customFormat="1" ht="18.75" customHeight="1" hidden="1">
      <c r="A94" s="1782"/>
      <c s="1782"/>
      <c s="371" t="s">
        <v>1147</v>
      </c>
      <c s="2464"/>
      <c s="2206"/>
      <c s="2385"/>
      <c s="2429"/>
      <c s="1502"/>
      <c s="653" t="s">
        <v>1146</v>
      </c>
      <c s="573"/>
      <c s="1502"/>
      <c s="216"/>
      <c s="343"/>
      <c s="336"/>
      <c s="1626"/>
      <c s="1626"/>
      <c r="AH94" s="1633">
        <v>0</v>
      </c>
    </row>
    <row r="95" spans="1:34" s="1637" customFormat="1" ht="0.75" customHeight="1" hidden="1">
      <c r="A95" s="1782"/>
      <c s="1782"/>
      <c s="371" t="s">
        <v>1154</v>
      </c>
      <c s="2464"/>
      <c s="2206"/>
      <c s="2385"/>
      <c s="402"/>
      <c s="1502"/>
      <c s="653"/>
      <c s="573"/>
      <c s="1502"/>
      <c s="216"/>
      <c s="343"/>
      <c s="336"/>
      <c s="1626"/>
      <c s="1626"/>
      <c r="AH95" s="1633">
        <v>0</v>
      </c>
    </row>
    <row r="96" spans="1:34" s="1637" customFormat="1" ht="45" customHeight="1" hidden="1">
      <c r="A96" s="1782" t="s">
        <v>175</v>
      </c>
      <c s="1782" t="s">
        <v>176</v>
      </c>
      <c s="371"/>
      <c s="2464"/>
      <c s="2206"/>
      <c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INDEX(PT_DIFFERENTIATION_NTAR,MATCH(B96,PT_DIFFERENTIATION_NTAR_ID,0))</f>
        <v/>
      </c>
      <c s="1864"/>
      <c s="1741"/>
      <c s="1775"/>
      <c s="1780"/>
      <c s="1864" t="s">
        <v>306</v>
      </c>
      <c s="343"/>
      <c s="336"/>
      <c s="1626"/>
      <c s="1626"/>
      <c r="AH96" s="1633">
        <v>0</v>
      </c>
    </row>
    <row r="97" spans="1:34" s="1637" customFormat="1" ht="18.75" customHeight="1" hidden="1">
      <c r="A97" s="1782"/>
      <c s="1782"/>
      <c s="371" t="s">
        <v>1147</v>
      </c>
      <c s="2464"/>
      <c s="2206"/>
      <c s="2385"/>
      <c s="2429"/>
      <c s="1502"/>
      <c s="653" t="s">
        <v>1146</v>
      </c>
      <c s="573"/>
      <c s="1502"/>
      <c s="216"/>
      <c s="343"/>
      <c s="336"/>
      <c s="1626"/>
      <c s="1626"/>
      <c r="AH97" s="1633">
        <v>0</v>
      </c>
    </row>
    <row r="98" spans="1:34" s="1637" customFormat="1" ht="0.75" customHeight="1" hidden="1">
      <c r="A98" s="1782"/>
      <c s="1782"/>
      <c s="371" t="s">
        <v>1154</v>
      </c>
      <c s="2464"/>
      <c s="2206"/>
      <c s="2385"/>
      <c s="402"/>
      <c s="1502"/>
      <c s="653"/>
      <c s="573"/>
      <c s="1502"/>
      <c s="216"/>
      <c s="343"/>
      <c s="336"/>
      <c s="1626"/>
      <c s="1626"/>
      <c r="AH98" s="1633">
        <v>0</v>
      </c>
    </row>
    <row r="99" spans="1:34" s="1637" customFormat="1" ht="18.75" customHeight="1" hidden="1">
      <c r="A99" s="1782" t="s">
        <v>181</v>
      </c>
      <c s="1782" t="s">
        <v>182</v>
      </c>
      <c s="371"/>
      <c s="2464"/>
      <c s="2206"/>
      <c s="2385" t="str">
        <f>INDEX(PT_DIFFERENTIATION_VTAR,MATCH(A99,PT_DIFFERENTIATION_VTAR_ID,0))</f>
        <v>Тарифы на услуги по передаче тепловой энергии</v>
      </c>
      <c s="2429" t="str">
        <f>INDEX(PT_DIFFERENTIATION_NTAR,MATCH(B99,PT_DIFFERENTIATION_NTAR_ID,0))</f>
        <v/>
      </c>
      <c s="1864"/>
      <c s="1741"/>
      <c s="1775"/>
      <c s="1780"/>
      <c s="1864" t="s">
        <v>306</v>
      </c>
      <c s="343"/>
      <c s="336"/>
      <c s="1626"/>
      <c s="1626"/>
      <c r="AH99" s="1633">
        <v>0</v>
      </c>
    </row>
    <row r="100" spans="1:34" s="1637" customFormat="1" ht="18.75" customHeight="1" hidden="1">
      <c r="A100" s="1782"/>
      <c s="1782"/>
      <c s="371" t="s">
        <v>1147</v>
      </c>
      <c s="2464"/>
      <c s="2206"/>
      <c s="2385"/>
      <c s="2429"/>
      <c s="1502"/>
      <c s="653" t="s">
        <v>1146</v>
      </c>
      <c s="573"/>
      <c s="1502"/>
      <c s="216"/>
      <c s="343"/>
      <c s="336"/>
      <c s="1626"/>
      <c s="1626"/>
      <c r="AH100" s="1633">
        <v>0</v>
      </c>
    </row>
    <row r="101" spans="1:34" s="1637" customFormat="1" ht="0.75" customHeight="1" hidden="1">
      <c r="A101" s="1782"/>
      <c s="1782"/>
      <c s="371" t="s">
        <v>1154</v>
      </c>
      <c s="2464"/>
      <c s="2206"/>
      <c s="2385"/>
      <c s="402"/>
      <c s="1502"/>
      <c s="653"/>
      <c s="573"/>
      <c s="1502"/>
      <c s="216"/>
      <c s="343"/>
      <c s="336"/>
      <c s="1626"/>
      <c s="1626"/>
      <c r="AH101" s="1633">
        <v>0</v>
      </c>
    </row>
    <row r="102" spans="1:34" s="1637" customFormat="1" ht="18.75" customHeight="1" hidden="1">
      <c r="A102" s="1782" t="s">
        <v>187</v>
      </c>
      <c s="1782" t="s">
        <v>188</v>
      </c>
      <c s="371"/>
      <c s="2464"/>
      <c s="2206"/>
      <c s="2385" t="str">
        <f>INDEX(PT_DIFFERENTIATION_VTAR,MATCH(A102,PT_DIFFERENTIATION_VTAR_ID,0))</f>
        <v>Тарифы на услуги по передаче теплоносителя</v>
      </c>
      <c s="2429" t="str">
        <f>INDEX(PT_DIFFERENTIATION_NTAR,MATCH(B102,PT_DIFFERENTIATION_NTAR_ID,0))</f>
        <v/>
      </c>
      <c s="1864"/>
      <c s="1741"/>
      <c s="1775"/>
      <c s="1780"/>
      <c s="1864" t="s">
        <v>306</v>
      </c>
      <c s="343"/>
      <c s="336"/>
      <c s="1626"/>
      <c s="1626"/>
      <c r="AH102" s="1633">
        <v>0</v>
      </c>
    </row>
    <row r="103" spans="1:34" s="1637" customFormat="1" ht="18.75" customHeight="1" hidden="1">
      <c r="A103" s="1782"/>
      <c s="1782"/>
      <c s="371" t="s">
        <v>1147</v>
      </c>
      <c s="2464"/>
      <c s="2206"/>
      <c s="2385"/>
      <c s="2429"/>
      <c s="1502"/>
      <c s="653" t="s">
        <v>1146</v>
      </c>
      <c s="573"/>
      <c s="1502"/>
      <c s="216"/>
      <c s="343"/>
      <c s="336"/>
      <c s="1626"/>
      <c s="1626"/>
      <c r="AH103" s="1633">
        <v>0</v>
      </c>
    </row>
    <row r="104" spans="1:34" s="1637" customFormat="1" ht="0.75" customHeight="1" hidden="1">
      <c r="A104" s="1782"/>
      <c s="1782"/>
      <c s="371" t="s">
        <v>1154</v>
      </c>
      <c s="2464"/>
      <c s="2206"/>
      <c s="2385"/>
      <c s="402"/>
      <c s="1502"/>
      <c s="653"/>
      <c s="573"/>
      <c s="1502"/>
      <c s="216"/>
      <c s="343"/>
      <c s="336"/>
      <c s="1626"/>
      <c s="1626"/>
      <c r="AH104" s="1633">
        <v>0</v>
      </c>
    </row>
    <row r="105" spans="1:34" s="1637" customFormat="1" ht="18.75" customHeight="1" hidden="1">
      <c r="A105" s="1782" t="s">
        <v>193</v>
      </c>
      <c s="1782" t="s">
        <v>194</v>
      </c>
      <c s="371"/>
      <c s="2464"/>
      <c s="2206"/>
      <c s="2385" t="str">
        <f>INDEX(PT_DIFFERENTIATION_VTAR,MATCH(A105,PT_DIFFERENTIATION_VTAR_ID,0))</f>
        <v>Плата за услуги по поддержанию резервной тепловой мощности при отсутствии потребления тепловой энергии</v>
      </c>
      <c s="2429" t="str">
        <f>INDEX(PT_DIFFERENTIATION_NTAR,MATCH(B105,PT_DIFFERENTIATION_NTAR_ID,0))</f>
        <v/>
      </c>
      <c s="1864"/>
      <c s="1741"/>
      <c s="1775"/>
      <c s="1780"/>
      <c s="1864" t="s">
        <v>306</v>
      </c>
      <c s="343"/>
      <c s="336"/>
      <c s="1626"/>
      <c s="1626"/>
      <c r="AH105" s="1633">
        <v>0</v>
      </c>
    </row>
    <row r="106" spans="1:34" s="1637" customFormat="1" ht="18.75" customHeight="1" hidden="1">
      <c r="A106" s="1782"/>
      <c s="1782"/>
      <c s="371" t="s">
        <v>1147</v>
      </c>
      <c s="2464"/>
      <c s="2206"/>
      <c s="2385"/>
      <c s="2429"/>
      <c s="1502"/>
      <c s="653" t="s">
        <v>1146</v>
      </c>
      <c s="573"/>
      <c s="1502"/>
      <c s="216"/>
      <c s="343"/>
      <c s="336"/>
      <c s="1626"/>
      <c s="1626"/>
      <c r="AH106" s="1633">
        <v>0</v>
      </c>
    </row>
    <row r="107" spans="1:34" s="1637" customFormat="1" ht="0.75" customHeight="1" hidden="1">
      <c r="A107" s="1782"/>
      <c s="1782"/>
      <c s="371" t="s">
        <v>1154</v>
      </c>
      <c s="2464"/>
      <c s="2206"/>
      <c s="2385"/>
      <c s="402"/>
      <c s="1502"/>
      <c s="653"/>
      <c s="573"/>
      <c s="1502"/>
      <c s="216"/>
      <c s="343"/>
      <c s="336"/>
      <c s="1626"/>
      <c s="1626"/>
      <c r="AH107" s="1633">
        <v>0</v>
      </c>
    </row>
    <row r="108" spans="1:34" s="1637" customFormat="1" ht="18.75" customHeight="1" hidden="1">
      <c r="A108" s="1782" t="s">
        <v>199</v>
      </c>
      <c s="1782" t="s">
        <v>200</v>
      </c>
      <c s="371"/>
      <c s="2464"/>
      <c s="2206"/>
      <c s="2385" t="str">
        <f>INDEX(PT_DIFFERENTIATION_VTAR,MATCH(A108,PT_DIFFERENTIATION_VTAR_ID,0))</f>
        <v>Плата за подключение (технологическое присоединение) к системе теплоснабжения</v>
      </c>
      <c s="2429" t="str">
        <f>INDEX(PT_DIFFERENTIATION_NTAR,MATCH(B108,PT_DIFFERENTIATION_NTAR_ID,0))</f>
        <v/>
      </c>
      <c s="1864"/>
      <c s="1741"/>
      <c s="1775"/>
      <c s="1780"/>
      <c s="1864" t="s">
        <v>306</v>
      </c>
      <c s="343"/>
      <c s="336"/>
      <c s="1626"/>
      <c s="1626"/>
      <c r="AH108" s="1633">
        <v>0</v>
      </c>
    </row>
    <row r="109" spans="1:34" s="1637" customFormat="1" ht="18.75" customHeight="1" hidden="1">
      <c r="A109" s="1782"/>
      <c s="1782"/>
      <c s="371" t="s">
        <v>1147</v>
      </c>
      <c s="2464"/>
      <c s="2206"/>
      <c s="2385"/>
      <c s="2429"/>
      <c s="1502"/>
      <c s="653" t="s">
        <v>1146</v>
      </c>
      <c s="573"/>
      <c s="1502"/>
      <c s="216"/>
      <c s="343"/>
      <c s="336"/>
      <c s="1626"/>
      <c s="1626"/>
      <c r="AH109" s="1633">
        <v>0</v>
      </c>
    </row>
    <row r="110" spans="1:34" s="1637" customFormat="1" ht="0.75" customHeight="1" hidden="1">
      <c r="A110" s="1782"/>
      <c s="1782"/>
      <c s="371" t="s">
        <v>1154</v>
      </c>
      <c s="2464"/>
      <c s="2206"/>
      <c s="2385"/>
      <c s="402"/>
      <c s="1502"/>
      <c s="653"/>
      <c s="573"/>
      <c s="1502"/>
      <c s="216"/>
      <c s="343"/>
      <c s="336"/>
      <c s="1626"/>
      <c s="1626"/>
      <c r="AH110" s="1633">
        <v>0</v>
      </c>
    </row>
    <row r="111" spans="1:34" s="1637" customFormat="1" ht="18.75" customHeight="1" hidden="1">
      <c r="A111" s="1782" t="s">
        <v>205</v>
      </c>
      <c s="1782" t="s">
        <v>206</v>
      </c>
      <c s="371"/>
      <c s="2464"/>
      <c s="2206"/>
      <c s="2385" t="str">
        <f>INDEX(PT_DIFFERENTIATION_VTAR,MATCH(A111,PT_DIFFERENTIATION_VTAR_ID,0))</f>
        <v>Плата за подключение (технологическое присоединение) к системе теплоснабжения (индивидуальная)</v>
      </c>
      <c s="2429" t="str">
        <f>INDEX(PT_DIFFERENTIATION_NTAR,MATCH(B111,PT_DIFFERENTIATION_NTAR_ID,0))</f>
        <v/>
      </c>
      <c s="1991"/>
      <c s="1741"/>
      <c s="1775"/>
      <c s="1780"/>
      <c s="1991" t="s">
        <v>306</v>
      </c>
      <c s="343"/>
      <c s="336"/>
      <c s="1626"/>
      <c s="1626"/>
      <c r="AH111" s="1633">
        <v>0</v>
      </c>
    </row>
    <row r="112" spans="1:34" s="1637" customFormat="1" ht="18.75" customHeight="1" hidden="1">
      <c r="A112" s="1782"/>
      <c s="1782"/>
      <c s="371" t="s">
        <v>1147</v>
      </c>
      <c s="2464"/>
      <c s="2206"/>
      <c s="2385"/>
      <c s="2429"/>
      <c s="1502"/>
      <c s="653" t="s">
        <v>1146</v>
      </c>
      <c s="573"/>
      <c s="1502"/>
      <c s="216"/>
      <c s="343"/>
      <c s="336"/>
      <c s="1626"/>
      <c s="1626"/>
      <c r="AH112" s="1633">
        <v>0</v>
      </c>
    </row>
    <row r="113" spans="1:34" s="1637" customFormat="1" ht="0.75" customHeight="1" hidden="1">
      <c r="A113" s="1782"/>
      <c s="1782"/>
      <c s="371" t="s">
        <v>1154</v>
      </c>
      <c s="2464"/>
      <c s="2206"/>
      <c s="2385"/>
      <c s="402"/>
      <c s="1502"/>
      <c s="653"/>
      <c s="573"/>
      <c s="1502"/>
      <c s="216"/>
      <c s="343"/>
      <c s="336"/>
      <c s="1626"/>
      <c s="1626"/>
      <c r="AH113" s="1633">
        <v>0</v>
      </c>
    </row>
    <row r="114" spans="1:34" s="1637" customFormat="1" ht="18.75" customHeight="1" hidden="1">
      <c r="A114" s="1782" t="s">
        <v>225</v>
      </c>
      <c s="1782" t="s">
        <v>226</v>
      </c>
      <c s="371"/>
      <c s="2464"/>
      <c s="2206"/>
      <c s="2385" t="str">
        <f>INDEX(PT_DIFFERENTIATION_VTAR,MATCH(A114,PT_DIFFERENTIATION_VTAR_ID,0))</f>
        <v>Тариф на питьевую воду (питьевое водоснабжение)</v>
      </c>
      <c s="2429" t="str">
        <f>INDEX(PT_DIFFERENTIATION_NTAR,MATCH(B114,PT_DIFFERENTIATION_NTAR_ID,0))</f>
        <v/>
      </c>
      <c s="1864"/>
      <c s="1741"/>
      <c s="1775"/>
      <c s="1780"/>
      <c s="1864" t="s">
        <v>306</v>
      </c>
      <c s="343"/>
      <c s="336"/>
      <c s="1626"/>
      <c s="1626"/>
      <c r="AH114" s="1633">
        <v>0</v>
      </c>
    </row>
    <row r="115" spans="1:34" s="1637" customFormat="1" ht="18.75" customHeight="1" hidden="1">
      <c r="A115" s="1782"/>
      <c s="1782"/>
      <c s="371" t="s">
        <v>1147</v>
      </c>
      <c s="2464"/>
      <c s="2206"/>
      <c s="2385"/>
      <c s="2429"/>
      <c s="1502"/>
      <c s="653" t="s">
        <v>1146</v>
      </c>
      <c s="573"/>
      <c s="1502"/>
      <c s="216"/>
      <c s="343"/>
      <c s="336"/>
      <c s="1626"/>
      <c s="1626"/>
      <c r="AH115" s="1633">
        <v>0</v>
      </c>
    </row>
    <row r="116" spans="1:34" s="1637" customFormat="1" ht="0.75" customHeight="1" hidden="1">
      <c r="A116" s="1782"/>
      <c s="1782"/>
      <c s="371" t="s">
        <v>1154</v>
      </c>
      <c s="2464"/>
      <c s="2206"/>
      <c s="2385"/>
      <c s="402"/>
      <c s="1502"/>
      <c s="653"/>
      <c s="573"/>
      <c s="1502"/>
      <c s="216"/>
      <c s="343"/>
      <c s="336"/>
      <c s="1626"/>
      <c s="1626"/>
      <c r="AH116" s="1633">
        <v>0</v>
      </c>
    </row>
    <row r="117" spans="1:34" s="1637" customFormat="1" ht="18.75" customHeight="1" hidden="1">
      <c r="A117" s="1782" t="s">
        <v>230</v>
      </c>
      <c s="1782" t="s">
        <v>231</v>
      </c>
      <c s="371"/>
      <c s="2464"/>
      <c s="2206"/>
      <c s="2385" t="str">
        <f>INDEX(PT_DIFFERENTIATION_VTAR,MATCH(A117,PT_DIFFERENTIATION_VTAR_ID,0))</f>
        <v>Тариф на техническую воду</v>
      </c>
      <c s="2429" t="str">
        <f>INDEX(PT_DIFFERENTIATION_NTAR,MATCH(B117,PT_DIFFERENTIATION_NTAR_ID,0))</f>
        <v/>
      </c>
      <c s="1864"/>
      <c s="1741"/>
      <c s="1775"/>
      <c s="1780"/>
      <c s="1864" t="s">
        <v>306</v>
      </c>
      <c s="343"/>
      <c s="336"/>
      <c s="1626"/>
      <c s="1626"/>
      <c r="AH117" s="1633">
        <v>0</v>
      </c>
    </row>
    <row r="118" spans="1:34" s="1637" customFormat="1" ht="18.75" customHeight="1" hidden="1">
      <c r="A118" s="1782"/>
      <c s="1782"/>
      <c s="371" t="s">
        <v>1147</v>
      </c>
      <c s="2464"/>
      <c s="2206"/>
      <c s="2385"/>
      <c s="2429"/>
      <c s="1502"/>
      <c s="653" t="s">
        <v>1146</v>
      </c>
      <c s="573"/>
      <c s="1502"/>
      <c s="216"/>
      <c s="343"/>
      <c s="336"/>
      <c s="1626"/>
      <c s="1626"/>
      <c r="AH118" s="1633">
        <v>0</v>
      </c>
    </row>
    <row r="119" spans="1:34" s="1637" customFormat="1" ht="0.75" customHeight="1" hidden="1">
      <c r="A119" s="1782"/>
      <c s="1782"/>
      <c s="371" t="s">
        <v>1154</v>
      </c>
      <c s="2464"/>
      <c s="2206"/>
      <c s="2385"/>
      <c s="402"/>
      <c s="1502"/>
      <c s="653"/>
      <c s="573"/>
      <c s="1502"/>
      <c s="216"/>
      <c s="343"/>
      <c s="336"/>
      <c s="1626"/>
      <c s="1626"/>
      <c r="AH119" s="1633">
        <v>0</v>
      </c>
    </row>
    <row r="120" spans="1:34" s="1637" customFormat="1" ht="18.75" customHeight="1" hidden="1">
      <c r="A120" s="1782" t="s">
        <v>235</v>
      </c>
      <c s="1782" t="s">
        <v>236</v>
      </c>
      <c s="371"/>
      <c s="2464"/>
      <c s="2206"/>
      <c s="2385" t="str">
        <f>INDEX(PT_DIFFERENTIATION_VTAR,MATCH(A120,PT_DIFFERENTIATION_VTAR_ID,0))</f>
        <v>Тариф на транспортировку воды</v>
      </c>
      <c s="2429" t="str">
        <f>INDEX(PT_DIFFERENTIATION_NTAR,MATCH(B120,PT_DIFFERENTIATION_NTAR_ID,0))</f>
        <v/>
      </c>
      <c s="1864"/>
      <c s="1741"/>
      <c s="1775"/>
      <c s="1780"/>
      <c s="1864" t="s">
        <v>306</v>
      </c>
      <c s="343"/>
      <c s="336"/>
      <c s="1626"/>
      <c s="1626"/>
      <c r="AH120" s="1633">
        <v>0</v>
      </c>
    </row>
    <row r="121" spans="1:34" s="1637" customFormat="1" ht="18.75" customHeight="1" hidden="1">
      <c r="A121" s="1782"/>
      <c s="1782"/>
      <c s="371" t="s">
        <v>1147</v>
      </c>
      <c s="2464"/>
      <c s="2206"/>
      <c s="2385"/>
      <c s="2429"/>
      <c s="1502"/>
      <c s="653" t="s">
        <v>1146</v>
      </c>
      <c s="573"/>
      <c s="1502"/>
      <c s="216"/>
      <c s="343"/>
      <c s="336"/>
      <c s="1626"/>
      <c s="1626"/>
      <c r="AH121" s="1633">
        <v>0</v>
      </c>
    </row>
    <row r="122" spans="1:34" s="1637" customFormat="1" ht="0.75" customHeight="1" hidden="1">
      <c r="A122" s="1782"/>
      <c s="1782"/>
      <c s="371" t="s">
        <v>1154</v>
      </c>
      <c s="2464"/>
      <c s="2206"/>
      <c s="2385"/>
      <c s="402"/>
      <c s="1502"/>
      <c s="653"/>
      <c s="573"/>
      <c s="1502"/>
      <c s="216"/>
      <c s="343"/>
      <c s="336"/>
      <c s="1626"/>
      <c s="1626"/>
      <c r="AH122" s="1633">
        <v>0</v>
      </c>
    </row>
    <row r="123" spans="1:34" s="1637" customFormat="1" ht="18.75" customHeight="1" hidden="1">
      <c r="A123" s="1782" t="s">
        <v>240</v>
      </c>
      <c s="1782" t="s">
        <v>241</v>
      </c>
      <c s="371"/>
      <c s="2464"/>
      <c s="2206"/>
      <c s="2385" t="str">
        <f>INDEX(PT_DIFFERENTIATION_VTAR,MATCH(A123,PT_DIFFERENTIATION_VTAR_ID,0))</f>
        <v>Тариф на подвоз воды</v>
      </c>
      <c s="2429" t="str">
        <f>INDEX(PT_DIFFERENTIATION_NTAR,MATCH(B123,PT_DIFFERENTIATION_NTAR_ID,0))</f>
        <v/>
      </c>
      <c s="1864"/>
      <c s="1741"/>
      <c s="1775"/>
      <c s="1780"/>
      <c s="1864" t="s">
        <v>306</v>
      </c>
      <c s="343"/>
      <c s="336"/>
      <c s="1626"/>
      <c s="1626"/>
      <c r="AH123" s="1633">
        <v>0</v>
      </c>
    </row>
    <row r="124" spans="1:34" s="1637" customFormat="1" ht="18.75" customHeight="1" hidden="1">
      <c r="A124" s="1782"/>
      <c s="1782"/>
      <c s="371" t="s">
        <v>1147</v>
      </c>
      <c s="2464"/>
      <c s="2206"/>
      <c s="2385"/>
      <c s="2429"/>
      <c s="1502"/>
      <c s="653" t="s">
        <v>1146</v>
      </c>
      <c s="573"/>
      <c s="1502"/>
      <c s="216"/>
      <c s="343"/>
      <c s="336"/>
      <c s="1626"/>
      <c s="1626"/>
      <c r="AH124" s="1633">
        <v>0</v>
      </c>
    </row>
    <row r="125" spans="1:34" s="1637" customFormat="1" ht="0.75" customHeight="1" hidden="1">
      <c r="A125" s="1782"/>
      <c s="1782"/>
      <c s="371" t="s">
        <v>1154</v>
      </c>
      <c s="2464"/>
      <c s="2206"/>
      <c s="2385"/>
      <c s="402"/>
      <c s="1502"/>
      <c s="653"/>
      <c s="573"/>
      <c s="1502"/>
      <c s="216"/>
      <c s="343"/>
      <c s="336"/>
      <c s="1626"/>
      <c s="1626"/>
      <c r="AH125" s="1633">
        <v>0</v>
      </c>
    </row>
    <row r="126" spans="1:34" s="1637" customFormat="1" ht="18.75" customHeight="1" hidden="1">
      <c r="A126" s="1782" t="s">
        <v>245</v>
      </c>
      <c s="1782" t="s">
        <v>246</v>
      </c>
      <c s="371"/>
      <c s="2464"/>
      <c s="2206"/>
      <c s="2385" t="str">
        <f>INDEX(PT_DIFFERENTIATION_VTAR,MATCH(A126,PT_DIFFERENTIATION_VTAR_ID,0))</f>
        <v>Тариф на подключение (технологическое присоединение) к централизованной системе холодного водоснабжения</v>
      </c>
      <c s="2429" t="str">
        <f>INDEX(PT_DIFFERENTIATION_NTAR,MATCH(B126,PT_DIFFERENTIATION_NTAR_ID,0))</f>
        <v/>
      </c>
      <c s="1864"/>
      <c s="1741"/>
      <c s="1775"/>
      <c s="1780"/>
      <c s="1864" t="s">
        <v>306</v>
      </c>
      <c s="343"/>
      <c s="336"/>
      <c s="1626"/>
      <c s="1626"/>
      <c r="AH126" s="1633">
        <v>0</v>
      </c>
    </row>
    <row r="127" spans="1:34" s="1637" customFormat="1" ht="18.75" customHeight="1" hidden="1">
      <c r="A127" s="1782"/>
      <c s="1782"/>
      <c s="371" t="s">
        <v>1147</v>
      </c>
      <c s="2464"/>
      <c s="2206"/>
      <c s="2385"/>
      <c s="2429"/>
      <c s="1502"/>
      <c s="653" t="s">
        <v>1146</v>
      </c>
      <c s="573"/>
      <c s="1502"/>
      <c s="216"/>
      <c s="343"/>
      <c s="336"/>
      <c s="1626"/>
      <c s="1626"/>
      <c r="AH127" s="1633">
        <v>0</v>
      </c>
    </row>
    <row r="128" spans="1:34" s="1637" customFormat="1" ht="0.75" customHeight="1" hidden="1">
      <c r="A128" s="1782"/>
      <c s="1782"/>
      <c s="371" t="s">
        <v>1154</v>
      </c>
      <c s="2464"/>
      <c s="2206"/>
      <c s="2385"/>
      <c s="402"/>
      <c s="1502"/>
      <c s="653"/>
      <c s="573"/>
      <c s="1502"/>
      <c s="216"/>
      <c s="343"/>
      <c s="336"/>
      <c s="1626"/>
      <c s="1626"/>
      <c r="AH128" s="1633">
        <v>0</v>
      </c>
    </row>
    <row r="129" spans="1:34" s="1637" customFormat="1" ht="18.75" customHeight="1" hidden="1">
      <c r="A129" s="1782" t="s">
        <v>250</v>
      </c>
      <c s="1782" t="s">
        <v>251</v>
      </c>
      <c s="371"/>
      <c s="2464"/>
      <c s="2206"/>
      <c s="2385" t="str">
        <f>INDEX(PT_DIFFERENTIATION_VTAR,MATCH(A129,PT_DIFFERENTIATION_VTAR_ID,0))</f>
        <v>Тариф на горячую воду (горячее водоснабжение)</v>
      </c>
      <c s="2429" t="str">
        <f>INDEX(PT_DIFFERENTIATION_NTAR,MATCH(B129,PT_DIFFERENTIATION_NTAR_ID,0))</f>
        <v/>
      </c>
      <c s="1864"/>
      <c s="1741"/>
      <c s="1775"/>
      <c s="1780"/>
      <c s="1864" t="s">
        <v>306</v>
      </c>
      <c s="343"/>
      <c s="336"/>
      <c s="1626"/>
      <c s="1626"/>
      <c r="AH129" s="1633">
        <v>0</v>
      </c>
    </row>
    <row r="130" spans="1:34" s="1637" customFormat="1" ht="18.75" customHeight="1" hidden="1">
      <c r="A130" s="1782"/>
      <c s="1782"/>
      <c s="371" t="s">
        <v>1147</v>
      </c>
      <c s="2464"/>
      <c s="2206"/>
      <c s="2385"/>
      <c s="2429"/>
      <c s="1502"/>
      <c s="653" t="s">
        <v>1146</v>
      </c>
      <c s="573"/>
      <c s="1502"/>
      <c s="216"/>
      <c s="343"/>
      <c s="336"/>
      <c s="1626"/>
      <c s="1626"/>
      <c r="AH130" s="1633">
        <v>0</v>
      </c>
    </row>
    <row r="131" spans="1:34" s="1637" customFormat="1" ht="0.75" customHeight="1" hidden="1">
      <c r="A131" s="1782"/>
      <c s="1782"/>
      <c s="371" t="s">
        <v>1154</v>
      </c>
      <c s="2464"/>
      <c s="2206"/>
      <c s="2385"/>
      <c s="402"/>
      <c s="1502"/>
      <c s="653"/>
      <c s="573"/>
      <c s="1502"/>
      <c s="216"/>
      <c s="343"/>
      <c s="336"/>
      <c s="1626"/>
      <c s="1626"/>
      <c r="AH131" s="1633">
        <v>0</v>
      </c>
    </row>
    <row r="132" spans="1:34" s="1637" customFormat="1" ht="18.75" customHeight="1" hidden="1">
      <c r="A132" s="1782" t="s">
        <v>255</v>
      </c>
      <c s="1782" t="s">
        <v>256</v>
      </c>
      <c s="371"/>
      <c s="2464"/>
      <c s="2206"/>
      <c s="2385" t="str">
        <f>INDEX(PT_DIFFERENTIATION_VTAR,MATCH(A132,PT_DIFFERENTIATION_VTAR_ID,0))</f>
        <v>Тариф на транспортировку горячей воды</v>
      </c>
      <c s="2429" t="str">
        <f>INDEX(PT_DIFFERENTIATION_NTAR,MATCH(B132,PT_DIFFERENTIATION_NTAR_ID,0))</f>
        <v/>
      </c>
      <c s="1864"/>
      <c s="1741"/>
      <c s="1775"/>
      <c s="1780"/>
      <c s="1864" t="s">
        <v>306</v>
      </c>
      <c s="343"/>
      <c s="336"/>
      <c s="1626"/>
      <c s="1626"/>
      <c r="AH132" s="1633">
        <v>0</v>
      </c>
    </row>
    <row r="133" spans="1:34" s="1637" customFormat="1" ht="18.75" customHeight="1" hidden="1">
      <c r="A133" s="1782"/>
      <c s="1782"/>
      <c s="371" t="s">
        <v>1147</v>
      </c>
      <c s="2464"/>
      <c s="2206"/>
      <c s="2385"/>
      <c s="2429"/>
      <c s="1502"/>
      <c s="653" t="s">
        <v>1146</v>
      </c>
      <c s="573"/>
      <c s="1502"/>
      <c s="216"/>
      <c s="343"/>
      <c s="336"/>
      <c s="1626"/>
      <c s="1626"/>
      <c r="AH133" s="1633">
        <v>0</v>
      </c>
    </row>
    <row r="134" spans="1:34" s="1637" customFormat="1" ht="0.75" customHeight="1" hidden="1">
      <c r="A134" s="1782"/>
      <c s="1782"/>
      <c s="371" t="s">
        <v>1154</v>
      </c>
      <c s="2464"/>
      <c s="2206"/>
      <c s="2385"/>
      <c s="402"/>
      <c s="1502"/>
      <c s="653"/>
      <c s="573"/>
      <c s="1502"/>
      <c s="216"/>
      <c s="343"/>
      <c s="336"/>
      <c s="1626"/>
      <c s="1626"/>
      <c r="AH134" s="1633">
        <v>0</v>
      </c>
    </row>
    <row r="135" spans="1:34" s="1637" customFormat="1" ht="18.75" customHeight="1" hidden="1">
      <c r="A135" s="1782" t="s">
        <v>260</v>
      </c>
      <c s="1782" t="s">
        <v>261</v>
      </c>
      <c s="371"/>
      <c s="2464"/>
      <c s="2206"/>
      <c s="2385" t="str">
        <f>INDEX(PT_DIFFERENTIATION_VTAR,MATCH(A135,PT_DIFFERENTIATION_VTAR_ID,0))</f>
        <v>Тариф на подключение (технологическое присоединение) к централизованной системе горячего водоснабжения</v>
      </c>
      <c s="2429" t="str">
        <f>INDEX(PT_DIFFERENTIATION_NTAR,MATCH(B135,PT_DIFFERENTIATION_NTAR_ID,0))</f>
        <v/>
      </c>
      <c s="1864"/>
      <c s="1741"/>
      <c s="1775"/>
      <c s="1780"/>
      <c s="1864" t="s">
        <v>306</v>
      </c>
      <c s="343"/>
      <c s="336"/>
      <c s="1626"/>
      <c s="1626"/>
      <c r="AH135" s="1633">
        <v>0</v>
      </c>
    </row>
    <row r="136" spans="1:34" s="1637" customFormat="1" ht="18.75" customHeight="1" hidden="1">
      <c r="A136" s="1782"/>
      <c s="1782"/>
      <c s="371" t="s">
        <v>1147</v>
      </c>
      <c s="2464"/>
      <c s="2206"/>
      <c s="2385"/>
      <c s="2429"/>
      <c s="1502"/>
      <c s="653" t="s">
        <v>1146</v>
      </c>
      <c s="573"/>
      <c s="1502"/>
      <c s="216"/>
      <c s="343"/>
      <c s="336"/>
      <c s="1626"/>
      <c s="1626"/>
      <c r="AH136" s="1633">
        <v>0</v>
      </c>
    </row>
    <row r="137" spans="1:34" s="1637" customFormat="1" ht="0.75" customHeight="1" hidden="1">
      <c r="A137" s="1782"/>
      <c s="1782"/>
      <c s="371" t="s">
        <v>1154</v>
      </c>
      <c s="2464"/>
      <c s="2206"/>
      <c s="2385"/>
      <c s="402"/>
      <c s="1502"/>
      <c s="653"/>
      <c s="573"/>
      <c s="1502"/>
      <c s="216"/>
      <c s="343"/>
      <c s="336"/>
      <c s="1626"/>
      <c s="1626"/>
      <c r="AH137" s="1633">
        <v>0</v>
      </c>
    </row>
    <row r="138" spans="1:34" s="1637" customFormat="1" ht="18.75" customHeight="1" hidden="1">
      <c r="A138" s="1782" t="s">
        <v>265</v>
      </c>
      <c s="1782" t="s">
        <v>266</v>
      </c>
      <c s="371"/>
      <c s="2464"/>
      <c s="2206"/>
      <c s="2385" t="str">
        <f>INDEX(PT_DIFFERENTIATION_VTAR,MATCH(A138,PT_DIFFERENTIATION_VTAR_ID,0))</f>
        <v>Тариф на водоотведение</v>
      </c>
      <c s="2429" t="str">
        <f>INDEX(PT_DIFFERENTIATION_NTAR,MATCH(B138,PT_DIFFERENTIATION_NTAR_ID,0))</f>
        <v/>
      </c>
      <c s="1864"/>
      <c s="1741"/>
      <c s="1775"/>
      <c s="1780"/>
      <c s="1864" t="s">
        <v>306</v>
      </c>
      <c s="343"/>
      <c s="336"/>
      <c s="1626"/>
      <c s="1626"/>
      <c r="AH138" s="1633">
        <v>0</v>
      </c>
    </row>
    <row r="139" spans="1:34" s="1637" customFormat="1" ht="18.75" customHeight="1" hidden="1">
      <c r="A139" s="1782"/>
      <c s="1782"/>
      <c s="371" t="s">
        <v>1147</v>
      </c>
      <c s="2464"/>
      <c s="2206"/>
      <c s="2385"/>
      <c s="2429"/>
      <c s="1502"/>
      <c s="653" t="s">
        <v>1146</v>
      </c>
      <c s="573"/>
      <c s="1502"/>
      <c s="216"/>
      <c s="343"/>
      <c s="336"/>
      <c s="1626"/>
      <c s="1626"/>
      <c r="AH139" s="1633">
        <v>0</v>
      </c>
    </row>
    <row r="140" spans="1:34" s="1637" customFormat="1" ht="0.75" customHeight="1" hidden="1">
      <c r="A140" s="1782"/>
      <c s="1782"/>
      <c s="371" t="s">
        <v>1154</v>
      </c>
      <c s="2464"/>
      <c s="2206"/>
      <c s="2385"/>
      <c s="402"/>
      <c s="1502"/>
      <c s="653"/>
      <c s="573"/>
      <c s="1502"/>
      <c s="216"/>
      <c s="343"/>
      <c s="336"/>
      <c s="1626"/>
      <c s="1626"/>
      <c r="AH140" s="1633">
        <v>0</v>
      </c>
    </row>
    <row r="141" spans="1:34" s="1637" customFormat="1" ht="18.75" customHeight="1" hidden="1">
      <c r="A141" s="1782" t="s">
        <v>270</v>
      </c>
      <c s="1782" t="s">
        <v>271</v>
      </c>
      <c s="371"/>
      <c s="2464"/>
      <c s="2206"/>
      <c s="2385" t="str">
        <f>INDEX(PT_DIFFERENTIATION_VTAR,MATCH(A141,PT_DIFFERENTIATION_VTAR_ID,0))</f>
        <v>Тариф на транспортировку сточных вод</v>
      </c>
      <c s="2429" t="str">
        <f>INDEX(PT_DIFFERENTIATION_NTAR,MATCH(B141,PT_DIFFERENTIATION_NTAR_ID,0))</f>
        <v/>
      </c>
      <c s="1864"/>
      <c s="1741"/>
      <c s="1775"/>
      <c s="1780"/>
      <c s="1864" t="s">
        <v>306</v>
      </c>
      <c s="343"/>
      <c s="336"/>
      <c s="1626"/>
      <c s="1626"/>
      <c r="AH141" s="1633">
        <v>0</v>
      </c>
    </row>
    <row r="142" spans="1:34" s="1637" customFormat="1" ht="18.75" customHeight="1" hidden="1">
      <c r="A142" s="1782"/>
      <c s="1782"/>
      <c s="371" t="s">
        <v>1147</v>
      </c>
      <c s="2464"/>
      <c s="2206"/>
      <c s="2385"/>
      <c s="2429"/>
      <c s="1502"/>
      <c s="653" t="s">
        <v>1146</v>
      </c>
      <c s="573"/>
      <c s="1502"/>
      <c s="216"/>
      <c s="343"/>
      <c s="336"/>
      <c s="1626"/>
      <c s="1626"/>
      <c r="AH142" s="1633">
        <v>0</v>
      </c>
    </row>
    <row r="143" spans="1:34" s="1637" customFormat="1" ht="0.75" customHeight="1" hidden="1">
      <c r="A143" s="1782"/>
      <c s="1782"/>
      <c s="371" t="s">
        <v>1154</v>
      </c>
      <c s="2464"/>
      <c s="2206"/>
      <c s="2385"/>
      <c s="402"/>
      <c s="1502"/>
      <c s="653"/>
      <c s="573"/>
      <c s="1502"/>
      <c s="216"/>
      <c s="343"/>
      <c s="336"/>
      <c s="1626"/>
      <c s="1626"/>
      <c r="AH143" s="1633">
        <v>0</v>
      </c>
    </row>
    <row r="144" spans="1:34" s="1637" customFormat="1" ht="18.75" customHeight="1" hidden="1">
      <c r="A144" s="1782" t="s">
        <v>275</v>
      </c>
      <c s="1782" t="s">
        <v>276</v>
      </c>
      <c s="371"/>
      <c s="2464"/>
      <c s="2206"/>
      <c s="2385" t="str">
        <f>INDEX(PT_DIFFERENTIATION_VTAR,MATCH(A144,PT_DIFFERENTIATION_VTAR_ID,0))</f>
        <v>Тариф на подключение (технологическое присоединение) к централизованной системе водоотведения</v>
      </c>
      <c s="2429" t="str">
        <f>INDEX(PT_DIFFERENTIATION_NTAR,MATCH(B144,PT_DIFFERENTIATION_NTAR_ID,0))</f>
        <v/>
      </c>
      <c s="1864"/>
      <c s="1741"/>
      <c s="1775"/>
      <c s="1780"/>
      <c s="1864" t="s">
        <v>306</v>
      </c>
      <c s="343"/>
      <c s="336"/>
      <c s="1626"/>
      <c s="1626"/>
      <c r="AH144" s="1633">
        <v>0</v>
      </c>
    </row>
    <row r="145" spans="1:34" s="1637" customFormat="1" ht="18.75" customHeight="1" hidden="1">
      <c r="A145" s="1782"/>
      <c s="1782"/>
      <c s="371" t="s">
        <v>1147</v>
      </c>
      <c s="2464"/>
      <c s="2206"/>
      <c s="2385"/>
      <c s="2429"/>
      <c s="1502"/>
      <c s="653" t="s">
        <v>1146</v>
      </c>
      <c s="573"/>
      <c s="1502"/>
      <c s="216"/>
      <c s="343"/>
      <c s="336"/>
      <c s="1626"/>
      <c s="1626"/>
      <c r="AH145" s="1633">
        <v>0</v>
      </c>
    </row>
    <row r="146" spans="1:34" s="1637" customFormat="1" ht="1.05" customHeight="1">
      <c r="A146" s="1782"/>
      <c s="1782"/>
      <c s="371" t="s">
        <v>1154</v>
      </c>
      <c s="2464"/>
      <c s="2206"/>
      <c s="2385"/>
      <c s="402"/>
      <c s="1502"/>
      <c s="653"/>
      <c s="573"/>
      <c s="1502"/>
      <c s="216"/>
      <c s="343"/>
      <c s="336"/>
      <c s="1626"/>
      <c s="1626"/>
      <c r="AH146" s="1633">
        <v>1</v>
      </c>
    </row>
    <row r="147" spans="1:34" ht="19.95" customHeight="1">
      <c r="A147" s="1782"/>
      <c s="1782"/>
      <c r="D147" s="378"/>
      <c s="149" t="s">
        <v>90</v>
      </c>
      <c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2462"/>
      <c s="2462"/>
      <c s="2462"/>
      <c s="2462"/>
      <c s="2462"/>
      <c s="2462"/>
      <c s="299"/>
      <c s="336"/>
      <c r="AH147" s="376">
        <v>19</v>
      </c>
    </row>
    <row r="148" spans="1:34" s="1637" customFormat="1" ht="60.75" customHeight="1" hidden="1">
      <c r="A148" s="1782" t="s">
        <v>157</v>
      </c>
      <c s="1782" t="s">
        <v>158</v>
      </c>
      <c s="371"/>
      <c s="2464"/>
      <c s="2206"/>
      <c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INDEX(PT_DIFFERENTIATION_NTAR,MATCH(B148,PT_DIFFERENTIATION_NTAR_ID,0))</f>
        <v/>
      </c>
      <c s="1864"/>
      <c s="1741"/>
      <c s="1775"/>
      <c s="1780"/>
      <c s="1864" t="s">
        <v>306</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6"/>
      <c s="1626"/>
      <c s="1626"/>
      <c r="AH148" s="1633">
        <v>0</v>
      </c>
    </row>
    <row r="149" spans="1:34" s="1637" customFormat="1" ht="18.75" customHeight="1" hidden="1">
      <c r="A149" s="1782"/>
      <c s="1782"/>
      <c s="371" t="s">
        <v>1147</v>
      </c>
      <c s="2464"/>
      <c s="2206"/>
      <c s="2385"/>
      <c s="2429"/>
      <c s="1502"/>
      <c s="653" t="s">
        <v>1146</v>
      </c>
      <c s="573"/>
      <c s="1502"/>
      <c s="216"/>
      <c s="2172"/>
      <c s="336"/>
      <c s="1626"/>
      <c s="1626"/>
      <c r="AH149" s="1633">
        <v>0</v>
      </c>
    </row>
    <row r="150" spans="1:34" s="1637" customFormat="1" ht="0.75" customHeight="1" hidden="1">
      <c r="A150" s="1782"/>
      <c s="1782"/>
      <c s="371" t="s">
        <v>1154</v>
      </c>
      <c s="2464"/>
      <c s="2206"/>
      <c s="2385"/>
      <c s="402"/>
      <c s="1502"/>
      <c s="653"/>
      <c s="573"/>
      <c s="1502"/>
      <c s="216"/>
      <c s="2172"/>
      <c s="336"/>
      <c s="1626"/>
      <c s="1626"/>
      <c r="AH150" s="1633">
        <v>0</v>
      </c>
    </row>
    <row r="151" spans="1:34" s="1637" customFormat="1" ht="45" customHeight="1" hidden="1">
      <c r="A151" s="1782" t="s">
        <v>162</v>
      </c>
      <c s="1782" t="s">
        <v>163</v>
      </c>
      <c s="371"/>
      <c s="2464"/>
      <c s="2206"/>
      <c s="2385" t="str">
        <f>INDEX(PT_DIFFERENTIATION_VTAR,MATCH(A151,PT_DIFFERENTIATION_VTAR_ID,0))</f>
        <v/>
      </c>
      <c s="2429" t="str">
        <f>INDEX(PT_DIFFERENTIATION_NTAR,MATCH(B151,PT_DIFFERENTIATION_NTAR_ID,0))</f>
        <v/>
      </c>
      <c s="1864"/>
      <c s="1741"/>
      <c s="1775"/>
      <c s="1780"/>
      <c s="1864" t="s">
        <v>306</v>
      </c>
      <c s="2173"/>
      <c s="336"/>
      <c s="1626"/>
      <c s="1626"/>
      <c r="AH151" s="1633">
        <v>0</v>
      </c>
    </row>
    <row r="152" spans="1:34" s="1637" customFormat="1" ht="18.75" customHeight="1" hidden="1">
      <c r="A152" s="1782"/>
      <c s="1782"/>
      <c s="371" t="s">
        <v>1147</v>
      </c>
      <c s="2464"/>
      <c s="2206"/>
      <c s="2385"/>
      <c s="2429"/>
      <c s="1502"/>
      <c s="653" t="s">
        <v>1146</v>
      </c>
      <c s="573"/>
      <c s="1502"/>
      <c s="216"/>
      <c s="1863"/>
      <c s="336"/>
      <c s="1626"/>
      <c s="1626"/>
      <c r="AH152" s="1633">
        <v>0</v>
      </c>
    </row>
    <row r="153" spans="1:34" s="1637" customFormat="1" ht="0.75" customHeight="1" hidden="1">
      <c r="A153" s="1782"/>
      <c s="1782"/>
      <c s="371" t="s">
        <v>1154</v>
      </c>
      <c s="2464"/>
      <c s="2206"/>
      <c s="2385"/>
      <c s="402"/>
      <c s="1502"/>
      <c s="653"/>
      <c s="573"/>
      <c s="1502"/>
      <c s="216"/>
      <c s="343"/>
      <c s="336"/>
      <c s="1626"/>
      <c s="1626"/>
      <c r="AH153" s="1633">
        <v>0</v>
      </c>
    </row>
    <row r="154" spans="1:34" s="1637" customFormat="1" ht="45" customHeight="1" hidden="1">
      <c r="A154" s="1782" t="s">
        <v>169</v>
      </c>
      <c s="1782" t="s">
        <v>170</v>
      </c>
      <c s="371"/>
      <c s="2464"/>
      <c s="2206"/>
      <c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INDEX(PT_DIFFERENTIATION_NTAR,MATCH(B154,PT_DIFFERENTIATION_NTAR_ID,0))</f>
        <v/>
      </c>
      <c s="1864"/>
      <c s="1741"/>
      <c s="1775"/>
      <c s="1780"/>
      <c s="1864" t="s">
        <v>306</v>
      </c>
      <c s="343"/>
      <c s="336"/>
      <c s="1626"/>
      <c s="1626"/>
      <c r="AH154" s="1633">
        <v>0</v>
      </c>
    </row>
    <row r="155" spans="1:34" s="1637" customFormat="1" ht="18.75" customHeight="1" hidden="1">
      <c r="A155" s="1782"/>
      <c s="1782"/>
      <c s="371" t="s">
        <v>1147</v>
      </c>
      <c s="2464"/>
      <c s="2206"/>
      <c s="2385"/>
      <c s="2429"/>
      <c s="1502"/>
      <c s="653" t="s">
        <v>1146</v>
      </c>
      <c s="573"/>
      <c s="1502"/>
      <c s="216"/>
      <c s="343"/>
      <c s="336"/>
      <c s="1626"/>
      <c s="1626"/>
      <c r="AH155" s="1633">
        <v>0</v>
      </c>
    </row>
    <row r="156" spans="1:34" s="1637" customFormat="1" ht="0.75" customHeight="1" hidden="1">
      <c r="A156" s="1782"/>
      <c s="1782"/>
      <c s="371" t="s">
        <v>1154</v>
      </c>
      <c s="2464"/>
      <c s="2206"/>
      <c s="2385"/>
      <c s="402"/>
      <c s="1502"/>
      <c s="653"/>
      <c s="573"/>
      <c s="1502"/>
      <c s="216"/>
      <c s="343"/>
      <c s="336"/>
      <c s="1626"/>
      <c s="1626"/>
      <c r="AH156" s="1633">
        <v>0</v>
      </c>
    </row>
    <row r="157" spans="1:34" s="1637" customFormat="1" ht="45" customHeight="1" hidden="1">
      <c r="A157" s="1782" t="s">
        <v>175</v>
      </c>
      <c s="1782" t="s">
        <v>176</v>
      </c>
      <c s="371"/>
      <c s="2464"/>
      <c s="2206"/>
      <c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INDEX(PT_DIFFERENTIATION_NTAR,MATCH(B157,PT_DIFFERENTIATION_NTAR_ID,0))</f>
        <v/>
      </c>
      <c s="1864"/>
      <c s="1741"/>
      <c s="1775"/>
      <c s="1780"/>
      <c s="1864" t="s">
        <v>306</v>
      </c>
      <c s="343"/>
      <c s="336"/>
      <c s="1626"/>
      <c s="1626"/>
      <c r="AH157" s="1633">
        <v>0</v>
      </c>
    </row>
    <row r="158" spans="1:34" s="1637" customFormat="1" ht="18.75" customHeight="1" hidden="1">
      <c r="A158" s="1782"/>
      <c s="1782"/>
      <c s="371" t="s">
        <v>1147</v>
      </c>
      <c s="2464"/>
      <c s="2206"/>
      <c s="2385"/>
      <c s="2429"/>
      <c s="1502"/>
      <c s="653" t="s">
        <v>1146</v>
      </c>
      <c s="573"/>
      <c s="1502"/>
      <c s="216"/>
      <c s="343"/>
      <c s="336"/>
      <c s="1626"/>
      <c s="1626"/>
      <c r="AH158" s="1633">
        <v>0</v>
      </c>
    </row>
    <row r="159" spans="1:34" s="1637" customFormat="1" ht="0.75" customHeight="1" hidden="1">
      <c r="A159" s="1782"/>
      <c s="1782"/>
      <c s="371" t="s">
        <v>1154</v>
      </c>
      <c s="2464"/>
      <c s="2206"/>
      <c s="2385"/>
      <c s="402"/>
      <c s="1502"/>
      <c s="653"/>
      <c s="573"/>
      <c s="1502"/>
      <c s="216"/>
      <c s="343"/>
      <c s="336"/>
      <c s="1626"/>
      <c s="1626"/>
      <c r="AH159" s="1633">
        <v>0</v>
      </c>
    </row>
    <row r="160" spans="1:34" s="1637" customFormat="1" ht="18.75" customHeight="1" hidden="1">
      <c r="A160" s="1782" t="s">
        <v>181</v>
      </c>
      <c s="1782" t="s">
        <v>182</v>
      </c>
      <c s="371"/>
      <c s="2464"/>
      <c s="2206"/>
      <c s="2385" t="str">
        <f>INDEX(PT_DIFFERENTIATION_VTAR,MATCH(A160,PT_DIFFERENTIATION_VTAR_ID,0))</f>
        <v>Тарифы на услуги по передаче тепловой энергии</v>
      </c>
      <c s="2429" t="str">
        <f>INDEX(PT_DIFFERENTIATION_NTAR,MATCH(B160,PT_DIFFERENTIATION_NTAR_ID,0))</f>
        <v/>
      </c>
      <c s="1864"/>
      <c s="1741"/>
      <c s="1775"/>
      <c s="1780"/>
      <c s="1864" t="s">
        <v>306</v>
      </c>
      <c s="343"/>
      <c s="336"/>
      <c s="1626"/>
      <c s="1626"/>
      <c r="AH160" s="1633">
        <v>0</v>
      </c>
    </row>
    <row r="161" spans="1:34" s="1637" customFormat="1" ht="18.75" customHeight="1" hidden="1">
      <c r="A161" s="1782"/>
      <c s="1782"/>
      <c s="371" t="s">
        <v>1147</v>
      </c>
      <c s="2464"/>
      <c s="2206"/>
      <c s="2385"/>
      <c s="2429"/>
      <c s="1502"/>
      <c s="653" t="s">
        <v>1146</v>
      </c>
      <c s="573"/>
      <c s="1502"/>
      <c s="216"/>
      <c s="343"/>
      <c s="336"/>
      <c s="1626"/>
      <c s="1626"/>
      <c r="AH161" s="1633">
        <v>0</v>
      </c>
    </row>
    <row r="162" spans="1:34" s="1637" customFormat="1" ht="0.75" customHeight="1" hidden="1">
      <c r="A162" s="1782"/>
      <c s="1782"/>
      <c s="371" t="s">
        <v>1154</v>
      </c>
      <c s="2464"/>
      <c s="2206"/>
      <c s="2385"/>
      <c s="402"/>
      <c s="1502"/>
      <c s="653"/>
      <c s="573"/>
      <c s="1502"/>
      <c s="216"/>
      <c s="343"/>
      <c s="336"/>
      <c s="1626"/>
      <c s="1626"/>
      <c r="AH162" s="1633">
        <v>0</v>
      </c>
    </row>
    <row r="163" spans="1:34" s="1637" customFormat="1" ht="18.75" customHeight="1" hidden="1">
      <c r="A163" s="1782" t="s">
        <v>187</v>
      </c>
      <c s="1782" t="s">
        <v>188</v>
      </c>
      <c s="371"/>
      <c s="2464"/>
      <c s="2206"/>
      <c s="2385" t="str">
        <f>INDEX(PT_DIFFERENTIATION_VTAR,MATCH(A163,PT_DIFFERENTIATION_VTAR_ID,0))</f>
        <v>Тарифы на услуги по передаче теплоносителя</v>
      </c>
      <c s="2429" t="str">
        <f>INDEX(PT_DIFFERENTIATION_NTAR,MATCH(B163,PT_DIFFERENTIATION_NTAR_ID,0))</f>
        <v/>
      </c>
      <c s="1864"/>
      <c s="1741"/>
      <c s="1775"/>
      <c s="1780"/>
      <c s="1864" t="s">
        <v>306</v>
      </c>
      <c s="343"/>
      <c s="336"/>
      <c s="1626"/>
      <c s="1626"/>
      <c r="AH163" s="1633">
        <v>0</v>
      </c>
    </row>
    <row r="164" spans="1:34" s="1637" customFormat="1" ht="18.75" customHeight="1" hidden="1">
      <c r="A164" s="1782"/>
      <c s="1782"/>
      <c s="371" t="s">
        <v>1147</v>
      </c>
      <c s="2464"/>
      <c s="2206"/>
      <c s="2385"/>
      <c s="2429"/>
      <c s="1502"/>
      <c s="653" t="s">
        <v>1146</v>
      </c>
      <c s="573"/>
      <c s="1502"/>
      <c s="216"/>
      <c s="343"/>
      <c s="336"/>
      <c s="1626"/>
      <c s="1626"/>
      <c r="AH164" s="1633">
        <v>0</v>
      </c>
    </row>
    <row r="165" spans="1:34" s="1637" customFormat="1" ht="0.75" customHeight="1" hidden="1">
      <c r="A165" s="1782"/>
      <c s="1782"/>
      <c s="371" t="s">
        <v>1154</v>
      </c>
      <c s="2464"/>
      <c s="2206"/>
      <c s="2385"/>
      <c s="402"/>
      <c s="1502"/>
      <c s="653"/>
      <c s="573"/>
      <c s="1502"/>
      <c s="216"/>
      <c s="343"/>
      <c s="336"/>
      <c s="1626"/>
      <c s="1626"/>
      <c r="AH165" s="1633">
        <v>0</v>
      </c>
    </row>
    <row r="166" spans="1:34" s="1637" customFormat="1" ht="18.75" customHeight="1" hidden="1">
      <c r="A166" s="1782" t="s">
        <v>193</v>
      </c>
      <c s="1782" t="s">
        <v>194</v>
      </c>
      <c s="371"/>
      <c s="2464"/>
      <c s="2206"/>
      <c s="2385" t="str">
        <f>INDEX(PT_DIFFERENTIATION_VTAR,MATCH(A166,PT_DIFFERENTIATION_VTAR_ID,0))</f>
        <v>Плата за услуги по поддержанию резервной тепловой мощности при отсутствии потребления тепловой энергии</v>
      </c>
      <c s="2429" t="str">
        <f>INDEX(PT_DIFFERENTIATION_NTAR,MATCH(B166,PT_DIFFERENTIATION_NTAR_ID,0))</f>
        <v/>
      </c>
      <c s="1864"/>
      <c s="1741"/>
      <c s="1775"/>
      <c s="1780"/>
      <c s="1864" t="s">
        <v>306</v>
      </c>
      <c s="343"/>
      <c s="336"/>
      <c s="1626"/>
      <c s="1626"/>
      <c r="AH166" s="1633">
        <v>0</v>
      </c>
    </row>
    <row r="167" spans="1:34" s="1637" customFormat="1" ht="18.75" customHeight="1" hidden="1">
      <c r="A167" s="1782"/>
      <c s="1782"/>
      <c s="371" t="s">
        <v>1147</v>
      </c>
      <c s="2464"/>
      <c s="2206"/>
      <c s="2385"/>
      <c s="2429"/>
      <c s="1502"/>
      <c s="653" t="s">
        <v>1146</v>
      </c>
      <c s="573"/>
      <c s="1502"/>
      <c s="216"/>
      <c s="343"/>
      <c s="336"/>
      <c s="1626"/>
      <c s="1626"/>
      <c r="AH167" s="1633">
        <v>0</v>
      </c>
    </row>
    <row r="168" spans="1:34" s="1637" customFormat="1" ht="0.75" customHeight="1" hidden="1">
      <c r="A168" s="1782"/>
      <c s="1782"/>
      <c s="371" t="s">
        <v>1154</v>
      </c>
      <c s="2464"/>
      <c s="2206"/>
      <c s="2385"/>
      <c s="402"/>
      <c s="1502"/>
      <c s="653"/>
      <c s="573"/>
      <c s="1502"/>
      <c s="216"/>
      <c s="343"/>
      <c s="336"/>
      <c s="1626"/>
      <c s="1626"/>
      <c r="AH168" s="1633">
        <v>0</v>
      </c>
    </row>
    <row r="169" spans="1:34" s="1637" customFormat="1" ht="18.75" customHeight="1" hidden="1">
      <c r="A169" s="1782" t="s">
        <v>199</v>
      </c>
      <c s="1782" t="s">
        <v>200</v>
      </c>
      <c s="371"/>
      <c s="2464"/>
      <c s="2206"/>
      <c s="2385" t="str">
        <f>INDEX(PT_DIFFERENTIATION_VTAR,MATCH(A169,PT_DIFFERENTIATION_VTAR_ID,0))</f>
        <v>Плата за подключение (технологическое присоединение) к системе теплоснабжения</v>
      </c>
      <c s="2429" t="str">
        <f>INDEX(PT_DIFFERENTIATION_NTAR,MATCH(B169,PT_DIFFERENTIATION_NTAR_ID,0))</f>
        <v/>
      </c>
      <c s="1864"/>
      <c s="1741"/>
      <c s="1775"/>
      <c s="1780"/>
      <c s="1864" t="s">
        <v>306</v>
      </c>
      <c s="343"/>
      <c s="336"/>
      <c s="1626"/>
      <c s="1626"/>
      <c r="AH169" s="1633">
        <v>0</v>
      </c>
    </row>
    <row r="170" spans="1:34" s="1637" customFormat="1" ht="18.75" customHeight="1" hidden="1">
      <c r="A170" s="1782"/>
      <c s="1782"/>
      <c s="371" t="s">
        <v>1147</v>
      </c>
      <c s="2464"/>
      <c s="2206"/>
      <c s="2385"/>
      <c s="2429"/>
      <c s="1502"/>
      <c s="653" t="s">
        <v>1146</v>
      </c>
      <c s="573"/>
      <c s="1502"/>
      <c s="216"/>
      <c s="343"/>
      <c s="336"/>
      <c s="1626"/>
      <c s="1626"/>
      <c r="AH170" s="1633">
        <v>0</v>
      </c>
    </row>
    <row r="171" spans="1:34" s="1637" customFormat="1" ht="0.75" customHeight="1" hidden="1">
      <c r="A171" s="1782"/>
      <c s="1782"/>
      <c s="371" t="s">
        <v>1154</v>
      </c>
      <c s="2464"/>
      <c s="2206"/>
      <c s="2385"/>
      <c s="402"/>
      <c s="1502"/>
      <c s="653"/>
      <c s="573"/>
      <c s="1502"/>
      <c s="216"/>
      <c s="343"/>
      <c s="336"/>
      <c s="1626"/>
      <c s="1626"/>
      <c r="AH171" s="1633">
        <v>0</v>
      </c>
    </row>
    <row r="172" spans="1:34" s="1637" customFormat="1" ht="18.75" customHeight="1" hidden="1">
      <c r="A172" s="1782" t="s">
        <v>205</v>
      </c>
      <c s="1782" t="s">
        <v>206</v>
      </c>
      <c s="371"/>
      <c s="2464"/>
      <c s="2206"/>
      <c s="2385" t="str">
        <f>INDEX(PT_DIFFERENTIATION_VTAR,MATCH(A172,PT_DIFFERENTIATION_VTAR_ID,0))</f>
        <v>Плата за подключение (технологическое присоединение) к системе теплоснабжения (индивидуальная)</v>
      </c>
      <c s="2429" t="str">
        <f>INDEX(PT_DIFFERENTIATION_NTAR,MATCH(B172,PT_DIFFERENTIATION_NTAR_ID,0))</f>
        <v/>
      </c>
      <c s="1991"/>
      <c s="1741"/>
      <c s="1775"/>
      <c s="1780"/>
      <c s="1991" t="s">
        <v>306</v>
      </c>
      <c s="343"/>
      <c s="336"/>
      <c s="1626"/>
      <c s="1626"/>
      <c r="AH172" s="1633">
        <v>0</v>
      </c>
    </row>
    <row r="173" spans="1:34" s="1637" customFormat="1" ht="18.75" customHeight="1" hidden="1">
      <c r="A173" s="1782"/>
      <c s="1782"/>
      <c s="371" t="s">
        <v>1147</v>
      </c>
      <c s="2464"/>
      <c s="2206"/>
      <c s="2385"/>
      <c s="2429"/>
      <c s="1502"/>
      <c s="653" t="s">
        <v>1146</v>
      </c>
      <c s="573"/>
      <c s="1502"/>
      <c s="216"/>
      <c s="343"/>
      <c s="336"/>
      <c s="1626"/>
      <c s="1626"/>
      <c r="AH173" s="1633">
        <v>0</v>
      </c>
    </row>
    <row r="174" spans="1:34" s="1637" customFormat="1" ht="0.75" customHeight="1" hidden="1">
      <c r="A174" s="1782"/>
      <c s="1782"/>
      <c s="371" t="s">
        <v>1154</v>
      </c>
      <c s="2464"/>
      <c s="2206"/>
      <c s="2385"/>
      <c s="402"/>
      <c s="1502"/>
      <c s="653"/>
      <c s="573"/>
      <c s="1502"/>
      <c s="216"/>
      <c s="343"/>
      <c s="336"/>
      <c s="1626"/>
      <c s="1626"/>
      <c r="AH174" s="1633">
        <v>0</v>
      </c>
    </row>
    <row r="175" spans="1:34" s="1637" customFormat="1" ht="18.75" customHeight="1" hidden="1">
      <c r="A175" s="1782" t="s">
        <v>225</v>
      </c>
      <c s="1782" t="s">
        <v>226</v>
      </c>
      <c s="371"/>
      <c s="2464"/>
      <c s="2206"/>
      <c s="2385" t="str">
        <f>INDEX(PT_DIFFERENTIATION_VTAR,MATCH(A175,PT_DIFFERENTIATION_VTAR_ID,0))</f>
        <v>Тариф на питьевую воду (питьевое водоснабжение)</v>
      </c>
      <c s="2429" t="str">
        <f>INDEX(PT_DIFFERENTIATION_NTAR,MATCH(B175,PT_DIFFERENTIATION_NTAR_ID,0))</f>
        <v/>
      </c>
      <c s="1864"/>
      <c s="1741"/>
      <c s="1775"/>
      <c s="1780"/>
      <c s="1864" t="s">
        <v>306</v>
      </c>
      <c s="343"/>
      <c s="336"/>
      <c s="1626"/>
      <c s="1626"/>
      <c r="AH175" s="1633">
        <v>0</v>
      </c>
    </row>
    <row r="176" spans="1:34" s="1637" customFormat="1" ht="18.75" customHeight="1" hidden="1">
      <c r="A176" s="1782"/>
      <c s="1782"/>
      <c s="371" t="s">
        <v>1147</v>
      </c>
      <c s="2464"/>
      <c s="2206"/>
      <c s="2385"/>
      <c s="2429"/>
      <c s="1502"/>
      <c s="653" t="s">
        <v>1146</v>
      </c>
      <c s="573"/>
      <c s="1502"/>
      <c s="216"/>
      <c s="343"/>
      <c s="336"/>
      <c s="1626"/>
      <c s="1626"/>
      <c r="AH176" s="1633">
        <v>0</v>
      </c>
    </row>
    <row r="177" spans="1:34" s="1637" customFormat="1" ht="0.75" customHeight="1" hidden="1">
      <c r="A177" s="1782"/>
      <c s="1782"/>
      <c s="371" t="s">
        <v>1154</v>
      </c>
      <c s="2464"/>
      <c s="2206"/>
      <c s="2385"/>
      <c s="402"/>
      <c s="1502"/>
      <c s="653"/>
      <c s="573"/>
      <c s="1502"/>
      <c s="216"/>
      <c s="343"/>
      <c s="336"/>
      <c s="1626"/>
      <c s="1626"/>
      <c r="AH177" s="1633">
        <v>0</v>
      </c>
    </row>
    <row r="178" spans="1:34" s="1637" customFormat="1" ht="18.75" customHeight="1" hidden="1">
      <c r="A178" s="1782" t="s">
        <v>230</v>
      </c>
      <c s="1782" t="s">
        <v>231</v>
      </c>
      <c s="371"/>
      <c s="2464"/>
      <c s="2206"/>
      <c s="2385" t="str">
        <f>INDEX(PT_DIFFERENTIATION_VTAR,MATCH(A178,PT_DIFFERENTIATION_VTAR_ID,0))</f>
        <v>Тариф на техническую воду</v>
      </c>
      <c s="2429" t="str">
        <f>INDEX(PT_DIFFERENTIATION_NTAR,MATCH(B178,PT_DIFFERENTIATION_NTAR_ID,0))</f>
        <v/>
      </c>
      <c s="1864"/>
      <c s="1741"/>
      <c s="1775"/>
      <c s="1780"/>
      <c s="1864" t="s">
        <v>306</v>
      </c>
      <c s="343"/>
      <c s="336"/>
      <c s="1626"/>
      <c s="1626"/>
      <c r="AH178" s="1633">
        <v>0</v>
      </c>
    </row>
    <row r="179" spans="1:34" s="1637" customFormat="1" ht="18.75" customHeight="1" hidden="1">
      <c r="A179" s="1782"/>
      <c s="1782"/>
      <c s="371" t="s">
        <v>1147</v>
      </c>
      <c s="2464"/>
      <c s="2206"/>
      <c s="2385"/>
      <c s="2429"/>
      <c s="1502"/>
      <c s="653" t="s">
        <v>1146</v>
      </c>
      <c s="573"/>
      <c s="1502"/>
      <c s="216"/>
      <c s="343"/>
      <c s="336"/>
      <c s="1626"/>
      <c s="1626"/>
      <c r="AH179" s="1633">
        <v>0</v>
      </c>
    </row>
    <row r="180" spans="1:34" s="1637" customFormat="1" ht="0.75" customHeight="1" hidden="1">
      <c r="A180" s="1782"/>
      <c s="1782"/>
      <c s="371" t="s">
        <v>1154</v>
      </c>
      <c s="2464"/>
      <c s="2206"/>
      <c s="2385"/>
      <c s="402"/>
      <c s="1502"/>
      <c s="653"/>
      <c s="573"/>
      <c s="1502"/>
      <c s="216"/>
      <c s="343"/>
      <c s="336"/>
      <c s="1626"/>
      <c s="1626"/>
      <c r="AH180" s="1633">
        <v>0</v>
      </c>
    </row>
    <row r="181" spans="1:34" s="1637" customFormat="1" ht="18.75" customHeight="1" hidden="1">
      <c r="A181" s="1782" t="s">
        <v>235</v>
      </c>
      <c s="1782" t="s">
        <v>236</v>
      </c>
      <c s="371"/>
      <c s="2464"/>
      <c s="2206"/>
      <c s="2385" t="str">
        <f>INDEX(PT_DIFFERENTIATION_VTAR,MATCH(A181,PT_DIFFERENTIATION_VTAR_ID,0))</f>
        <v>Тариф на транспортировку воды</v>
      </c>
      <c s="2429" t="str">
        <f>INDEX(PT_DIFFERENTIATION_NTAR,MATCH(B181,PT_DIFFERENTIATION_NTAR_ID,0))</f>
        <v/>
      </c>
      <c s="1864"/>
      <c s="1741"/>
      <c s="1775"/>
      <c s="1780"/>
      <c s="1864" t="s">
        <v>306</v>
      </c>
      <c s="343"/>
      <c s="336"/>
      <c s="1626"/>
      <c s="1626"/>
      <c r="AH181" s="1633">
        <v>0</v>
      </c>
    </row>
    <row r="182" spans="1:34" s="1637" customFormat="1" ht="18.75" customHeight="1" hidden="1">
      <c r="A182" s="1782"/>
      <c s="1782"/>
      <c s="371" t="s">
        <v>1147</v>
      </c>
      <c s="2464"/>
      <c s="2206"/>
      <c s="2385"/>
      <c s="2429"/>
      <c s="1502"/>
      <c s="653" t="s">
        <v>1146</v>
      </c>
      <c s="573"/>
      <c s="1502"/>
      <c s="216"/>
      <c s="343"/>
      <c s="336"/>
      <c s="1626"/>
      <c s="1626"/>
      <c r="AH182" s="1633">
        <v>0</v>
      </c>
    </row>
    <row r="183" spans="1:34" s="1637" customFormat="1" ht="0.75" customHeight="1" hidden="1">
      <c r="A183" s="1782"/>
      <c s="1782"/>
      <c s="371" t="s">
        <v>1154</v>
      </c>
      <c s="2464"/>
      <c s="2206"/>
      <c s="2385"/>
      <c s="402"/>
      <c s="1502"/>
      <c s="653"/>
      <c s="573"/>
      <c s="1502"/>
      <c s="216"/>
      <c s="343"/>
      <c s="336"/>
      <c s="1626"/>
      <c s="1626"/>
      <c r="AH183" s="1633">
        <v>0</v>
      </c>
    </row>
    <row r="184" spans="1:34" s="1637" customFormat="1" ht="18.75" customHeight="1" hidden="1">
      <c r="A184" s="1782" t="s">
        <v>240</v>
      </c>
      <c s="1782" t="s">
        <v>241</v>
      </c>
      <c s="371"/>
      <c s="2464"/>
      <c s="2206"/>
      <c s="2385" t="str">
        <f>INDEX(PT_DIFFERENTIATION_VTAR,MATCH(A184,PT_DIFFERENTIATION_VTAR_ID,0))</f>
        <v>Тариф на подвоз воды</v>
      </c>
      <c s="2429" t="str">
        <f>INDEX(PT_DIFFERENTIATION_NTAR,MATCH(B184,PT_DIFFERENTIATION_NTAR_ID,0))</f>
        <v/>
      </c>
      <c s="1864"/>
      <c s="1741"/>
      <c s="1775"/>
      <c s="1780"/>
      <c s="1864" t="s">
        <v>306</v>
      </c>
      <c s="343"/>
      <c s="336"/>
      <c s="1626"/>
      <c s="1626"/>
      <c r="AH184" s="1633">
        <v>0</v>
      </c>
    </row>
    <row r="185" spans="1:34" s="1637" customFormat="1" ht="18.75" customHeight="1" hidden="1">
      <c r="A185" s="1782"/>
      <c s="1782"/>
      <c s="371" t="s">
        <v>1147</v>
      </c>
      <c s="2464"/>
      <c s="2206"/>
      <c s="2385"/>
      <c s="2429"/>
      <c s="1502"/>
      <c s="653" t="s">
        <v>1146</v>
      </c>
      <c s="573"/>
      <c s="1502"/>
      <c s="216"/>
      <c s="343"/>
      <c s="336"/>
      <c s="1626"/>
      <c s="1626"/>
      <c r="AH185" s="1633">
        <v>0</v>
      </c>
    </row>
    <row r="186" spans="1:34" s="1637" customFormat="1" ht="0.75" customHeight="1" hidden="1">
      <c r="A186" s="1782"/>
      <c s="1782"/>
      <c s="371" t="s">
        <v>1154</v>
      </c>
      <c s="2464"/>
      <c s="2206"/>
      <c s="2385"/>
      <c s="402"/>
      <c s="1502"/>
      <c s="653"/>
      <c s="573"/>
      <c s="1502"/>
      <c s="216"/>
      <c s="343"/>
      <c s="336"/>
      <c s="1626"/>
      <c s="1626"/>
      <c r="AH186" s="1633">
        <v>0</v>
      </c>
    </row>
    <row r="187" spans="1:34" s="1637" customFormat="1" ht="18.75" customHeight="1" hidden="1">
      <c r="A187" s="1782" t="s">
        <v>245</v>
      </c>
      <c s="1782" t="s">
        <v>246</v>
      </c>
      <c s="371"/>
      <c s="2464"/>
      <c s="2206"/>
      <c s="2385" t="str">
        <f>INDEX(PT_DIFFERENTIATION_VTAR,MATCH(A187,PT_DIFFERENTIATION_VTAR_ID,0))</f>
        <v>Тариф на подключение (технологическое присоединение) к централизованной системе холодного водоснабжения</v>
      </c>
      <c s="2429" t="str">
        <f>INDEX(PT_DIFFERENTIATION_NTAR,MATCH(B187,PT_DIFFERENTIATION_NTAR_ID,0))</f>
        <v/>
      </c>
      <c s="1864"/>
      <c s="1741"/>
      <c s="1775"/>
      <c s="1780"/>
      <c s="1864" t="s">
        <v>306</v>
      </c>
      <c s="343"/>
      <c s="336"/>
      <c s="1626"/>
      <c s="1626"/>
      <c r="AH187" s="1633">
        <v>0</v>
      </c>
    </row>
    <row r="188" spans="1:34" s="1637" customFormat="1" ht="18.75" customHeight="1" hidden="1">
      <c r="A188" s="1782"/>
      <c s="1782"/>
      <c s="371" t="s">
        <v>1147</v>
      </c>
      <c s="2464"/>
      <c s="2206"/>
      <c s="2385"/>
      <c s="2429"/>
      <c s="1502"/>
      <c s="653" t="s">
        <v>1146</v>
      </c>
      <c s="573"/>
      <c s="1502"/>
      <c s="216"/>
      <c s="343"/>
      <c s="336"/>
      <c s="1626"/>
      <c s="1626"/>
      <c r="AH188" s="1633">
        <v>0</v>
      </c>
    </row>
    <row r="189" spans="1:34" s="1637" customFormat="1" ht="0.75" customHeight="1" hidden="1">
      <c r="A189" s="1782"/>
      <c s="1782"/>
      <c s="371" t="s">
        <v>1154</v>
      </c>
      <c s="2464"/>
      <c s="2206"/>
      <c s="2385"/>
      <c s="402"/>
      <c s="1502"/>
      <c s="653"/>
      <c s="573"/>
      <c s="1502"/>
      <c s="216"/>
      <c s="343"/>
      <c s="336"/>
      <c s="1626"/>
      <c s="1626"/>
      <c r="AH189" s="1633">
        <v>0</v>
      </c>
    </row>
    <row r="190" spans="1:34" s="1637" customFormat="1" ht="18.75" customHeight="1" hidden="1">
      <c r="A190" s="1782" t="s">
        <v>250</v>
      </c>
      <c s="1782" t="s">
        <v>251</v>
      </c>
      <c s="371"/>
      <c s="2464"/>
      <c s="2206"/>
      <c s="2385" t="str">
        <f>INDEX(PT_DIFFERENTIATION_VTAR,MATCH(A190,PT_DIFFERENTIATION_VTAR_ID,0))</f>
        <v>Тариф на горячую воду (горячее водоснабжение)</v>
      </c>
      <c s="2429" t="str">
        <f>INDEX(PT_DIFFERENTIATION_NTAR,MATCH(B190,PT_DIFFERENTIATION_NTAR_ID,0))</f>
        <v/>
      </c>
      <c s="1864"/>
      <c s="1741"/>
      <c s="1775"/>
      <c s="1780"/>
      <c s="1864" t="s">
        <v>306</v>
      </c>
      <c s="343"/>
      <c s="336"/>
      <c s="1626"/>
      <c s="1626"/>
      <c r="AH190" s="1633">
        <v>0</v>
      </c>
    </row>
    <row r="191" spans="1:34" s="1637" customFormat="1" ht="18.75" customHeight="1" hidden="1">
      <c r="A191" s="1782"/>
      <c s="1782"/>
      <c s="371" t="s">
        <v>1147</v>
      </c>
      <c s="2464"/>
      <c s="2206"/>
      <c s="2385"/>
      <c s="2429"/>
      <c s="1502"/>
      <c s="653" t="s">
        <v>1146</v>
      </c>
      <c s="573"/>
      <c s="1502"/>
      <c s="216"/>
      <c s="343"/>
      <c s="336"/>
      <c s="1626"/>
      <c s="1626"/>
      <c r="AH191" s="1633">
        <v>0</v>
      </c>
    </row>
    <row r="192" spans="1:34" s="1637" customFormat="1" ht="0.75" customHeight="1" hidden="1">
      <c r="A192" s="1782"/>
      <c s="1782"/>
      <c s="371" t="s">
        <v>1154</v>
      </c>
      <c s="2464"/>
      <c s="2206"/>
      <c s="2385"/>
      <c s="402"/>
      <c s="1502"/>
      <c s="653"/>
      <c s="573"/>
      <c s="1502"/>
      <c s="216"/>
      <c s="343"/>
      <c s="336"/>
      <c s="1626"/>
      <c s="1626"/>
      <c r="AH192" s="1633">
        <v>0</v>
      </c>
    </row>
    <row r="193" spans="1:34" s="1637" customFormat="1" ht="18.75" customHeight="1" hidden="1">
      <c r="A193" s="1782" t="s">
        <v>255</v>
      </c>
      <c s="1782" t="s">
        <v>256</v>
      </c>
      <c s="371"/>
      <c s="2464"/>
      <c s="2206"/>
      <c s="2385" t="str">
        <f>INDEX(PT_DIFFERENTIATION_VTAR,MATCH(A193,PT_DIFFERENTIATION_VTAR_ID,0))</f>
        <v>Тариф на транспортировку горячей воды</v>
      </c>
      <c s="2429" t="str">
        <f>INDEX(PT_DIFFERENTIATION_NTAR,MATCH(B193,PT_DIFFERENTIATION_NTAR_ID,0))</f>
        <v/>
      </c>
      <c s="1864"/>
      <c s="1741"/>
      <c s="1775"/>
      <c s="1780"/>
      <c s="1864" t="s">
        <v>306</v>
      </c>
      <c s="343"/>
      <c s="336"/>
      <c s="1626"/>
      <c s="1626"/>
      <c r="AH193" s="1633">
        <v>0</v>
      </c>
    </row>
    <row r="194" spans="1:34" s="1637" customFormat="1" ht="18.75" customHeight="1" hidden="1">
      <c r="A194" s="1782"/>
      <c s="1782"/>
      <c s="371" t="s">
        <v>1147</v>
      </c>
      <c s="2464"/>
      <c s="2206"/>
      <c s="2385"/>
      <c s="2429"/>
      <c s="1502"/>
      <c s="653" t="s">
        <v>1146</v>
      </c>
      <c s="573"/>
      <c s="1502"/>
      <c s="216"/>
      <c s="343"/>
      <c s="336"/>
      <c s="1626"/>
      <c s="1626"/>
      <c r="AH194" s="1633">
        <v>0</v>
      </c>
    </row>
    <row r="195" spans="1:34" s="1637" customFormat="1" ht="0.75" customHeight="1" hidden="1">
      <c r="A195" s="1782"/>
      <c s="1782"/>
      <c s="371" t="s">
        <v>1154</v>
      </c>
      <c s="2464"/>
      <c s="2206"/>
      <c s="2385"/>
      <c s="402"/>
      <c s="1502"/>
      <c s="653"/>
      <c s="573"/>
      <c s="1502"/>
      <c s="216"/>
      <c s="343"/>
      <c s="336"/>
      <c s="1626"/>
      <c s="1626"/>
      <c r="AH195" s="1633">
        <v>0</v>
      </c>
    </row>
    <row r="196" spans="1:34" s="1637" customFormat="1" ht="18.75" customHeight="1" hidden="1">
      <c r="A196" s="1782" t="s">
        <v>260</v>
      </c>
      <c s="1782" t="s">
        <v>261</v>
      </c>
      <c s="371"/>
      <c s="2464"/>
      <c s="2206"/>
      <c s="2385" t="str">
        <f>INDEX(PT_DIFFERENTIATION_VTAR,MATCH(A196,PT_DIFFERENTIATION_VTAR_ID,0))</f>
        <v>Тариф на подключение (технологическое присоединение) к централизованной системе горячего водоснабжения</v>
      </c>
      <c s="2429" t="str">
        <f>INDEX(PT_DIFFERENTIATION_NTAR,MATCH(B196,PT_DIFFERENTIATION_NTAR_ID,0))</f>
        <v/>
      </c>
      <c s="1864"/>
      <c s="1741"/>
      <c s="1775"/>
      <c s="1780"/>
      <c s="1864" t="s">
        <v>306</v>
      </c>
      <c s="343"/>
      <c s="336"/>
      <c s="1626"/>
      <c s="1626"/>
      <c r="AH196" s="1633">
        <v>0</v>
      </c>
    </row>
    <row r="197" spans="1:34" s="1637" customFormat="1" ht="18.75" customHeight="1" hidden="1">
      <c r="A197" s="1782"/>
      <c s="1782"/>
      <c s="371" t="s">
        <v>1147</v>
      </c>
      <c s="2464"/>
      <c s="2206"/>
      <c s="2385"/>
      <c s="2429"/>
      <c s="1502"/>
      <c s="653" t="s">
        <v>1146</v>
      </c>
      <c s="573"/>
      <c s="1502"/>
      <c s="216"/>
      <c s="343"/>
      <c s="336"/>
      <c s="1626"/>
      <c s="1626"/>
      <c r="AH197" s="1633">
        <v>0</v>
      </c>
    </row>
    <row r="198" spans="1:34" s="1637" customFormat="1" ht="0.75" customHeight="1" hidden="1">
      <c r="A198" s="1782"/>
      <c s="1782"/>
      <c s="371" t="s">
        <v>1154</v>
      </c>
      <c s="2464"/>
      <c s="2206"/>
      <c s="2385"/>
      <c s="402"/>
      <c s="1502"/>
      <c s="653"/>
      <c s="573"/>
      <c s="1502"/>
      <c s="216"/>
      <c s="343"/>
      <c s="336"/>
      <c s="1626"/>
      <c s="1626"/>
      <c r="AH198" s="1633">
        <v>0</v>
      </c>
    </row>
    <row r="199" spans="1:34" s="1637" customFormat="1" ht="18.75" customHeight="1" hidden="1">
      <c r="A199" s="1782" t="s">
        <v>265</v>
      </c>
      <c s="1782" t="s">
        <v>266</v>
      </c>
      <c s="371"/>
      <c s="2464"/>
      <c s="2206"/>
      <c s="2385" t="str">
        <f>INDEX(PT_DIFFERENTIATION_VTAR,MATCH(A199,PT_DIFFERENTIATION_VTAR_ID,0))</f>
        <v>Тариф на водоотведение</v>
      </c>
      <c s="2429" t="str">
        <f>INDEX(PT_DIFFERENTIATION_NTAR,MATCH(B199,PT_DIFFERENTIATION_NTAR_ID,0))</f>
        <v/>
      </c>
      <c s="1864"/>
      <c s="1741"/>
      <c s="1775"/>
      <c s="1780"/>
      <c s="1864" t="s">
        <v>306</v>
      </c>
      <c s="343"/>
      <c s="336"/>
      <c s="1626"/>
      <c s="1626"/>
      <c r="AH199" s="1633">
        <v>0</v>
      </c>
    </row>
    <row r="200" spans="1:34" s="1637" customFormat="1" ht="18.75" customHeight="1" hidden="1">
      <c r="A200" s="1782"/>
      <c s="1782"/>
      <c s="371" t="s">
        <v>1147</v>
      </c>
      <c s="2464"/>
      <c s="2206"/>
      <c s="2385"/>
      <c s="2429"/>
      <c s="1502"/>
      <c s="653" t="s">
        <v>1146</v>
      </c>
      <c s="573"/>
      <c s="1502"/>
      <c s="216"/>
      <c s="343"/>
      <c s="336"/>
      <c s="1626"/>
      <c s="1626"/>
      <c r="AH200" s="1633">
        <v>0</v>
      </c>
    </row>
    <row r="201" spans="1:34" s="1637" customFormat="1" ht="0.75" customHeight="1" hidden="1">
      <c r="A201" s="1782"/>
      <c s="1782"/>
      <c s="371" t="s">
        <v>1154</v>
      </c>
      <c s="2464"/>
      <c s="2206"/>
      <c s="2385"/>
      <c s="402"/>
      <c s="1502"/>
      <c s="653"/>
      <c s="573"/>
      <c s="1502"/>
      <c s="216"/>
      <c s="343"/>
      <c s="336"/>
      <c s="1626"/>
      <c s="1626"/>
      <c r="AH201" s="1633">
        <v>0</v>
      </c>
    </row>
    <row r="202" spans="1:34" s="1637" customFormat="1" ht="18.75" customHeight="1" hidden="1">
      <c r="A202" s="1782" t="s">
        <v>270</v>
      </c>
      <c s="1782" t="s">
        <v>271</v>
      </c>
      <c s="371"/>
      <c s="2464"/>
      <c s="2206"/>
      <c s="2385" t="str">
        <f>INDEX(PT_DIFFERENTIATION_VTAR,MATCH(A202,PT_DIFFERENTIATION_VTAR_ID,0))</f>
        <v>Тариф на транспортировку сточных вод</v>
      </c>
      <c s="2429" t="str">
        <f>INDEX(PT_DIFFERENTIATION_NTAR,MATCH(B202,PT_DIFFERENTIATION_NTAR_ID,0))</f>
        <v/>
      </c>
      <c s="1864"/>
      <c s="1741"/>
      <c s="1775"/>
      <c s="1780"/>
      <c s="1864" t="s">
        <v>306</v>
      </c>
      <c s="343"/>
      <c s="336"/>
      <c s="1626"/>
      <c s="1626"/>
      <c r="AH202" s="1633">
        <v>0</v>
      </c>
    </row>
    <row r="203" spans="1:34" s="1637" customFormat="1" ht="18.75" customHeight="1" hidden="1">
      <c r="A203" s="1782"/>
      <c s="1782"/>
      <c s="371" t="s">
        <v>1147</v>
      </c>
      <c s="2464"/>
      <c s="2206"/>
      <c s="2385"/>
      <c s="2429"/>
      <c s="1502"/>
      <c s="653" t="s">
        <v>1146</v>
      </c>
      <c s="573"/>
      <c s="1502"/>
      <c s="216"/>
      <c s="343"/>
      <c s="336"/>
      <c s="1626"/>
      <c s="1626"/>
      <c r="AH203" s="1633">
        <v>0</v>
      </c>
    </row>
    <row r="204" spans="1:34" s="1637" customFormat="1" ht="0.75" customHeight="1" hidden="1">
      <c r="A204" s="1782"/>
      <c s="1782"/>
      <c s="371" t="s">
        <v>1154</v>
      </c>
      <c s="2464"/>
      <c s="2206"/>
      <c s="2385"/>
      <c s="402"/>
      <c s="1502"/>
      <c s="653"/>
      <c s="573"/>
      <c s="1502"/>
      <c s="216"/>
      <c s="343"/>
      <c s="336"/>
      <c s="1626"/>
      <c s="1626"/>
      <c r="AH204" s="1633">
        <v>0</v>
      </c>
    </row>
    <row r="205" spans="1:34" s="1637" customFormat="1" ht="18.75" customHeight="1" hidden="1">
      <c r="A205" s="1782" t="s">
        <v>275</v>
      </c>
      <c s="1782" t="s">
        <v>276</v>
      </c>
      <c s="371"/>
      <c s="2464"/>
      <c s="2206"/>
      <c s="2385" t="str">
        <f>INDEX(PT_DIFFERENTIATION_VTAR,MATCH(A205,PT_DIFFERENTIATION_VTAR_ID,0))</f>
        <v>Тариф на подключение (технологическое присоединение) к централизованной системе водоотведения</v>
      </c>
      <c s="2429" t="str">
        <f>INDEX(PT_DIFFERENTIATION_NTAR,MATCH(B205,PT_DIFFERENTIATION_NTAR_ID,0))</f>
        <v/>
      </c>
      <c s="1864"/>
      <c s="1741"/>
      <c s="1775"/>
      <c s="1780"/>
      <c s="1864" t="s">
        <v>306</v>
      </c>
      <c s="343"/>
      <c s="336"/>
      <c s="1626"/>
      <c s="1626"/>
      <c r="AH205" s="1633">
        <v>0</v>
      </c>
    </row>
    <row r="206" spans="1:34" s="1637" customFormat="1" ht="18.75" customHeight="1" hidden="1">
      <c r="A206" s="1782"/>
      <c s="1782"/>
      <c s="371" t="s">
        <v>1147</v>
      </c>
      <c s="2464"/>
      <c s="2206"/>
      <c s="2385"/>
      <c s="2429"/>
      <c s="1502"/>
      <c s="653" t="s">
        <v>1146</v>
      </c>
      <c s="573"/>
      <c s="1502"/>
      <c s="216"/>
      <c s="343"/>
      <c s="336"/>
      <c s="1626"/>
      <c s="1626"/>
      <c r="AH206" s="1633">
        <v>0</v>
      </c>
    </row>
    <row r="207" spans="1:34" s="1637" customFormat="1" ht="1.05" customHeight="1">
      <c r="A207" s="1782"/>
      <c s="1782"/>
      <c s="371" t="s">
        <v>1154</v>
      </c>
      <c s="2464"/>
      <c s="2206"/>
      <c s="2385"/>
      <c s="402"/>
      <c s="1502"/>
      <c s="653"/>
      <c s="573"/>
      <c s="1502"/>
      <c s="216"/>
      <c s="343"/>
      <c s="336"/>
      <c s="1626"/>
      <c s="1626"/>
      <c r="AH207" s="1633">
        <v>1</v>
      </c>
    </row>
    <row r="208" spans="1:34" ht="27.3" customHeight="1">
      <c r="A208" s="1782"/>
      <c s="1782"/>
      <c r="D208" s="378"/>
      <c s="149" t="s">
        <v>111</v>
      </c>
      <c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2"/>
      <c s="2462"/>
      <c s="2462"/>
      <c s="2462"/>
      <c s="2462"/>
      <c s="2462"/>
      <c s="299"/>
      <c s="336"/>
      <c r="AH208" s="376">
        <v>26</v>
      </c>
    </row>
    <row r="209" spans="1:34" s="1637" customFormat="1" ht="60.75" customHeight="1" hidden="1">
      <c r="A209" s="1782" t="s">
        <v>157</v>
      </c>
      <c s="1782" t="s">
        <v>158</v>
      </c>
      <c s="371"/>
      <c s="2464"/>
      <c s="2206"/>
      <c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INDEX(PT_DIFFERENTIATION_NTAR,MATCH(B209,PT_DIFFERENTIATION_NTAR_ID,0))</f>
        <v/>
      </c>
      <c s="1864"/>
      <c s="1741"/>
      <c s="1775"/>
      <c s="1780"/>
      <c s="1864" t="s">
        <v>306</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336"/>
      <c s="1626"/>
      <c s="1626"/>
      <c r="AH209" s="1633">
        <v>0</v>
      </c>
    </row>
    <row r="210" spans="1:34" s="1637" customFormat="1" ht="18.75" customHeight="1" hidden="1">
      <c r="A210" s="1782"/>
      <c s="1782"/>
      <c s="371" t="s">
        <v>1147</v>
      </c>
      <c s="2464"/>
      <c s="2206"/>
      <c s="2385"/>
      <c s="2429"/>
      <c s="1502"/>
      <c s="653" t="s">
        <v>1146</v>
      </c>
      <c s="573"/>
      <c s="1502"/>
      <c s="216"/>
      <c s="2172"/>
      <c s="336"/>
      <c s="1626"/>
      <c s="1626"/>
      <c r="AH210" s="1633">
        <v>0</v>
      </c>
    </row>
    <row r="211" spans="1:34" s="1637" customFormat="1" ht="0.75" customHeight="1" hidden="1">
      <c r="A211" s="1782"/>
      <c s="1782"/>
      <c s="371" t="s">
        <v>1154</v>
      </c>
      <c s="2464"/>
      <c s="2206"/>
      <c s="2385"/>
      <c s="402"/>
      <c s="1502"/>
      <c s="653"/>
      <c s="573"/>
      <c s="1502"/>
      <c s="216"/>
      <c s="2172"/>
      <c s="336"/>
      <c s="1626"/>
      <c s="1626"/>
      <c r="AH211" s="1633">
        <v>0</v>
      </c>
    </row>
    <row r="212" spans="1:34" s="1637" customFormat="1" ht="45" customHeight="1" hidden="1">
      <c r="A212" s="1782" t="s">
        <v>162</v>
      </c>
      <c s="1782" t="s">
        <v>163</v>
      </c>
      <c s="371"/>
      <c s="2464"/>
      <c s="2206"/>
      <c s="2385" t="str">
        <f>INDEX(PT_DIFFERENTIATION_VTAR,MATCH(A212,PT_DIFFERENTIATION_VTAR_ID,0))</f>
        <v/>
      </c>
      <c s="2429" t="str">
        <f>INDEX(PT_DIFFERENTIATION_NTAR,MATCH(B212,PT_DIFFERENTIATION_NTAR_ID,0))</f>
        <v/>
      </c>
      <c s="1864"/>
      <c s="1741"/>
      <c s="1775"/>
      <c s="1780"/>
      <c s="1864" t="s">
        <v>306</v>
      </c>
      <c s="2173"/>
      <c s="336"/>
      <c s="1626"/>
      <c s="1626"/>
      <c r="AH212" s="1633">
        <v>0</v>
      </c>
    </row>
    <row r="213" spans="1:34" s="1637" customFormat="1" ht="18.75" customHeight="1" hidden="1">
      <c r="A213" s="1782"/>
      <c s="1782"/>
      <c s="371" t="s">
        <v>1147</v>
      </c>
      <c s="2464"/>
      <c s="2206"/>
      <c s="2385"/>
      <c s="2429"/>
      <c s="1502"/>
      <c s="653" t="s">
        <v>1146</v>
      </c>
      <c s="573"/>
      <c s="1502"/>
      <c s="216"/>
      <c s="1863"/>
      <c s="336"/>
      <c s="1626"/>
      <c s="1626"/>
      <c r="AH213" s="1633">
        <v>0</v>
      </c>
    </row>
    <row r="214" spans="1:34" s="1637" customFormat="1" ht="0.75" customHeight="1" hidden="1">
      <c r="A214" s="1782"/>
      <c s="1782"/>
      <c s="371" t="s">
        <v>1154</v>
      </c>
      <c s="2464"/>
      <c s="2206"/>
      <c s="2385"/>
      <c s="402"/>
      <c s="1502"/>
      <c s="653"/>
      <c s="573"/>
      <c s="1502"/>
      <c s="216"/>
      <c s="343"/>
      <c s="336"/>
      <c s="1626"/>
      <c s="1626"/>
      <c r="AH214" s="1633">
        <v>0</v>
      </c>
    </row>
    <row r="215" spans="1:34" s="1637" customFormat="1" ht="45" customHeight="1" hidden="1">
      <c r="A215" s="1782" t="s">
        <v>169</v>
      </c>
      <c s="1782" t="s">
        <v>170</v>
      </c>
      <c s="371"/>
      <c s="2464"/>
      <c s="2206"/>
      <c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INDEX(PT_DIFFERENTIATION_NTAR,MATCH(B215,PT_DIFFERENTIATION_NTAR_ID,0))</f>
        <v/>
      </c>
      <c s="1864"/>
      <c s="1741"/>
      <c s="1775"/>
      <c s="1780"/>
      <c s="1864" t="s">
        <v>306</v>
      </c>
      <c s="343"/>
      <c s="336"/>
      <c s="1626"/>
      <c s="1626"/>
      <c r="AH215" s="1633">
        <v>0</v>
      </c>
    </row>
    <row r="216" spans="1:34" s="1637" customFormat="1" ht="18.75" customHeight="1" hidden="1">
      <c r="A216" s="1782"/>
      <c s="1782"/>
      <c s="371" t="s">
        <v>1147</v>
      </c>
      <c s="2464"/>
      <c s="2206"/>
      <c s="2385"/>
      <c s="2429"/>
      <c s="1502"/>
      <c s="653" t="s">
        <v>1146</v>
      </c>
      <c s="573"/>
      <c s="1502"/>
      <c s="216"/>
      <c s="343"/>
      <c s="336"/>
      <c s="1626"/>
      <c s="1626"/>
      <c r="AH216" s="1633">
        <v>0</v>
      </c>
    </row>
    <row r="217" spans="1:34" s="1637" customFormat="1" ht="0.75" customHeight="1" hidden="1">
      <c r="A217" s="1782"/>
      <c s="1782"/>
      <c s="371" t="s">
        <v>1154</v>
      </c>
      <c s="2464"/>
      <c s="2206"/>
      <c s="2385"/>
      <c s="402"/>
      <c s="1502"/>
      <c s="653"/>
      <c s="573"/>
      <c s="1502"/>
      <c s="216"/>
      <c s="343"/>
      <c s="336"/>
      <c s="1626"/>
      <c s="1626"/>
      <c r="AH217" s="1633">
        <v>0</v>
      </c>
    </row>
    <row r="218" spans="1:34" s="1637" customFormat="1" ht="45" customHeight="1" hidden="1">
      <c r="A218" s="1782" t="s">
        <v>175</v>
      </c>
      <c s="1782" t="s">
        <v>176</v>
      </c>
      <c s="371"/>
      <c s="2464"/>
      <c s="2206"/>
      <c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INDEX(PT_DIFFERENTIATION_NTAR,MATCH(B218,PT_DIFFERENTIATION_NTAR_ID,0))</f>
        <v/>
      </c>
      <c s="1864"/>
      <c s="1741"/>
      <c s="1775"/>
      <c s="1780"/>
      <c s="1864" t="s">
        <v>306</v>
      </c>
      <c s="343"/>
      <c s="336"/>
      <c s="1626"/>
      <c s="1626"/>
      <c r="AH218" s="1633">
        <v>0</v>
      </c>
    </row>
    <row r="219" spans="1:34" s="1637" customFormat="1" ht="18.75" customHeight="1" hidden="1">
      <c r="A219" s="1782"/>
      <c s="1782"/>
      <c s="371" t="s">
        <v>1147</v>
      </c>
      <c s="2464"/>
      <c s="2206"/>
      <c s="2385"/>
      <c s="2429"/>
      <c s="1502"/>
      <c s="653" t="s">
        <v>1146</v>
      </c>
      <c s="573"/>
      <c s="1502"/>
      <c s="216"/>
      <c s="343"/>
      <c s="336"/>
      <c s="1626"/>
      <c s="1626"/>
      <c r="AH219" s="1633">
        <v>0</v>
      </c>
    </row>
    <row r="220" spans="1:34" s="1637" customFormat="1" ht="0.75" customHeight="1" hidden="1">
      <c r="A220" s="1782"/>
      <c s="1782"/>
      <c s="371" t="s">
        <v>1154</v>
      </c>
      <c s="2464"/>
      <c s="2206"/>
      <c s="2385"/>
      <c s="402"/>
      <c s="1502"/>
      <c s="653"/>
      <c s="573"/>
      <c s="1502"/>
      <c s="216"/>
      <c s="343"/>
      <c s="336"/>
      <c s="1626"/>
      <c s="1626"/>
      <c r="AH220" s="1633">
        <v>0</v>
      </c>
    </row>
    <row r="221" spans="1:34" s="1637" customFormat="1" ht="18.75" customHeight="1" hidden="1">
      <c r="A221" s="1782" t="s">
        <v>181</v>
      </c>
      <c s="1782" t="s">
        <v>182</v>
      </c>
      <c s="371"/>
      <c s="2464"/>
      <c s="2206"/>
      <c s="2385" t="str">
        <f>INDEX(PT_DIFFERENTIATION_VTAR,MATCH(A221,PT_DIFFERENTIATION_VTAR_ID,0))</f>
        <v>Тарифы на услуги по передаче тепловой энергии</v>
      </c>
      <c s="2429" t="str">
        <f>INDEX(PT_DIFFERENTIATION_NTAR,MATCH(B221,PT_DIFFERENTIATION_NTAR_ID,0))</f>
        <v/>
      </c>
      <c s="1864"/>
      <c s="1741"/>
      <c s="1775"/>
      <c s="1780"/>
      <c s="1864" t="s">
        <v>306</v>
      </c>
      <c s="343"/>
      <c s="336"/>
      <c s="1626"/>
      <c s="1626"/>
      <c r="AH221" s="1633">
        <v>0</v>
      </c>
    </row>
    <row r="222" spans="1:34" s="1637" customFormat="1" ht="18.75" customHeight="1" hidden="1">
      <c r="A222" s="1782"/>
      <c s="1782"/>
      <c s="371" t="s">
        <v>1147</v>
      </c>
      <c s="2464"/>
      <c s="2206"/>
      <c s="2385"/>
      <c s="2429"/>
      <c s="1502"/>
      <c s="653" t="s">
        <v>1146</v>
      </c>
      <c s="573"/>
      <c s="1502"/>
      <c s="216"/>
      <c s="343"/>
      <c s="336"/>
      <c s="1626"/>
      <c s="1626"/>
      <c r="AH222" s="1633">
        <v>0</v>
      </c>
    </row>
    <row r="223" spans="1:34" s="1637" customFormat="1" ht="0.75" customHeight="1" hidden="1">
      <c r="A223" s="1782"/>
      <c s="1782"/>
      <c s="371" t="s">
        <v>1154</v>
      </c>
      <c s="2464"/>
      <c s="2206"/>
      <c s="2385"/>
      <c s="402"/>
      <c s="1502"/>
      <c s="653"/>
      <c s="573"/>
      <c s="1502"/>
      <c s="216"/>
      <c s="343"/>
      <c s="336"/>
      <c s="1626"/>
      <c s="1626"/>
      <c r="AH223" s="1633">
        <v>0</v>
      </c>
    </row>
    <row r="224" spans="1:34" s="1637" customFormat="1" ht="18.75" customHeight="1" hidden="1">
      <c r="A224" s="1782" t="s">
        <v>187</v>
      </c>
      <c s="1782" t="s">
        <v>188</v>
      </c>
      <c s="371"/>
      <c s="2464"/>
      <c s="2206"/>
      <c s="2385" t="str">
        <f>INDEX(PT_DIFFERENTIATION_VTAR,MATCH(A224,PT_DIFFERENTIATION_VTAR_ID,0))</f>
        <v>Тарифы на услуги по передаче теплоносителя</v>
      </c>
      <c s="2429" t="str">
        <f>INDEX(PT_DIFFERENTIATION_NTAR,MATCH(B224,PT_DIFFERENTIATION_NTAR_ID,0))</f>
        <v/>
      </c>
      <c s="1864"/>
      <c s="1741"/>
      <c s="1775"/>
      <c s="1780"/>
      <c s="1864" t="s">
        <v>306</v>
      </c>
      <c s="343"/>
      <c s="336"/>
      <c s="1626"/>
      <c s="1626"/>
      <c r="AH224" s="1633">
        <v>0</v>
      </c>
    </row>
    <row r="225" spans="1:34" s="1637" customFormat="1" ht="18.75" customHeight="1" hidden="1">
      <c r="A225" s="1782"/>
      <c s="1782"/>
      <c s="371" t="s">
        <v>1147</v>
      </c>
      <c s="2464"/>
      <c s="2206"/>
      <c s="2385"/>
      <c s="2429"/>
      <c s="1502"/>
      <c s="653" t="s">
        <v>1146</v>
      </c>
      <c s="573"/>
      <c s="1502"/>
      <c s="216"/>
      <c s="343"/>
      <c s="336"/>
      <c s="1626"/>
      <c s="1626"/>
      <c r="AH225" s="1633">
        <v>0</v>
      </c>
    </row>
    <row r="226" spans="1:34" s="1637" customFormat="1" ht="0.75" customHeight="1" hidden="1">
      <c r="A226" s="1782"/>
      <c s="1782"/>
      <c s="371" t="s">
        <v>1154</v>
      </c>
      <c s="2464"/>
      <c s="2206"/>
      <c s="2385"/>
      <c s="402"/>
      <c s="1502"/>
      <c s="653"/>
      <c s="573"/>
      <c s="1502"/>
      <c s="216"/>
      <c s="343"/>
      <c s="336"/>
      <c s="1626"/>
      <c s="1626"/>
      <c r="AH226" s="1633">
        <v>0</v>
      </c>
    </row>
    <row r="227" spans="1:34" s="1637" customFormat="1" ht="18.75" customHeight="1" hidden="1">
      <c r="A227" s="1782" t="s">
        <v>193</v>
      </c>
      <c s="1782" t="s">
        <v>194</v>
      </c>
      <c s="371"/>
      <c s="2464"/>
      <c s="2206"/>
      <c s="2385" t="str">
        <f>INDEX(PT_DIFFERENTIATION_VTAR,MATCH(A227,PT_DIFFERENTIATION_VTAR_ID,0))</f>
        <v>Плата за услуги по поддержанию резервной тепловой мощности при отсутствии потребления тепловой энергии</v>
      </c>
      <c s="2429" t="str">
        <f>INDEX(PT_DIFFERENTIATION_NTAR,MATCH(B227,PT_DIFFERENTIATION_NTAR_ID,0))</f>
        <v/>
      </c>
      <c s="1864"/>
      <c s="1741"/>
      <c s="1775"/>
      <c s="1780"/>
      <c s="1864" t="s">
        <v>306</v>
      </c>
      <c s="343"/>
      <c s="336"/>
      <c s="1626"/>
      <c s="1626"/>
      <c r="AH227" s="1633">
        <v>0</v>
      </c>
    </row>
    <row r="228" spans="1:34" s="1637" customFormat="1" ht="18.75" customHeight="1" hidden="1">
      <c r="A228" s="1782"/>
      <c s="1782"/>
      <c s="371" t="s">
        <v>1147</v>
      </c>
      <c s="2464"/>
      <c s="2206"/>
      <c s="2385"/>
      <c s="2429"/>
      <c s="1502"/>
      <c s="653" t="s">
        <v>1146</v>
      </c>
      <c s="573"/>
      <c s="1502"/>
      <c s="216"/>
      <c s="343"/>
      <c s="336"/>
      <c s="1626"/>
      <c s="1626"/>
      <c r="AH228" s="1633">
        <v>0</v>
      </c>
    </row>
    <row r="229" spans="1:34" s="1637" customFormat="1" ht="0.75" customHeight="1" hidden="1">
      <c r="A229" s="1782"/>
      <c s="1782"/>
      <c s="371" t="s">
        <v>1154</v>
      </c>
      <c s="2464"/>
      <c s="2206"/>
      <c s="2385"/>
      <c s="402"/>
      <c s="1502"/>
      <c s="653"/>
      <c s="573"/>
      <c s="1502"/>
      <c s="216"/>
      <c s="343"/>
      <c s="336"/>
      <c s="1626"/>
      <c s="1626"/>
      <c r="AH229" s="1633">
        <v>0</v>
      </c>
    </row>
    <row r="230" spans="1:34" s="1637" customFormat="1" ht="18.75" customHeight="1" hidden="1">
      <c r="A230" s="1782" t="s">
        <v>199</v>
      </c>
      <c s="1782" t="s">
        <v>200</v>
      </c>
      <c s="371"/>
      <c s="2464"/>
      <c s="2206"/>
      <c s="2385" t="str">
        <f>INDEX(PT_DIFFERENTIATION_VTAR,MATCH(A230,PT_DIFFERENTIATION_VTAR_ID,0))</f>
        <v>Плата за подключение (технологическое присоединение) к системе теплоснабжения</v>
      </c>
      <c s="2429" t="str">
        <f>INDEX(PT_DIFFERENTIATION_NTAR,MATCH(B230,PT_DIFFERENTIATION_NTAR_ID,0))</f>
        <v/>
      </c>
      <c s="1864"/>
      <c s="1741"/>
      <c s="1775"/>
      <c s="1780"/>
      <c s="1864" t="s">
        <v>306</v>
      </c>
      <c s="343"/>
      <c s="336"/>
      <c s="1626"/>
      <c s="1626"/>
      <c r="AH230" s="1633">
        <v>0</v>
      </c>
    </row>
    <row r="231" spans="1:34" s="1637" customFormat="1" ht="18.75" customHeight="1" hidden="1">
      <c r="A231" s="1782"/>
      <c s="1782"/>
      <c s="371" t="s">
        <v>1147</v>
      </c>
      <c s="2464"/>
      <c s="2206"/>
      <c s="2385"/>
      <c s="2429"/>
      <c s="1502"/>
      <c s="653" t="s">
        <v>1146</v>
      </c>
      <c s="573"/>
      <c s="1502"/>
      <c s="216"/>
      <c s="343"/>
      <c s="336"/>
      <c s="1626"/>
      <c s="1626"/>
      <c r="AH231" s="1633">
        <v>0</v>
      </c>
    </row>
    <row r="232" spans="1:34" s="1637" customFormat="1" ht="0.75" customHeight="1" hidden="1">
      <c r="A232" s="1782"/>
      <c s="1782"/>
      <c s="371" t="s">
        <v>1154</v>
      </c>
      <c s="2464"/>
      <c s="2206"/>
      <c s="2385"/>
      <c s="402"/>
      <c s="1502"/>
      <c s="653"/>
      <c s="573"/>
      <c s="1502"/>
      <c s="216"/>
      <c s="343"/>
      <c s="336"/>
      <c s="1626"/>
      <c s="1626"/>
      <c r="AH232" s="1633">
        <v>0</v>
      </c>
    </row>
    <row r="233" spans="1:34" s="1637" customFormat="1" ht="18.75" customHeight="1" hidden="1">
      <c r="A233" s="1782" t="s">
        <v>205</v>
      </c>
      <c s="1782" t="s">
        <v>206</v>
      </c>
      <c s="371"/>
      <c s="2464"/>
      <c s="2206"/>
      <c s="2385" t="str">
        <f>INDEX(PT_DIFFERENTIATION_VTAR,MATCH(A233,PT_DIFFERENTIATION_VTAR_ID,0))</f>
        <v>Плата за подключение (технологическое присоединение) к системе теплоснабжения (индивидуальная)</v>
      </c>
      <c s="2429" t="str">
        <f>INDEX(PT_DIFFERENTIATION_NTAR,MATCH(B233,PT_DIFFERENTIATION_NTAR_ID,0))</f>
        <v/>
      </c>
      <c s="1991"/>
      <c s="1741"/>
      <c s="1775"/>
      <c s="1780"/>
      <c s="1991" t="s">
        <v>306</v>
      </c>
      <c s="343"/>
      <c s="336"/>
      <c s="1626"/>
      <c s="1626"/>
      <c r="AH233" s="1633">
        <v>0</v>
      </c>
    </row>
    <row r="234" spans="1:34" s="1637" customFormat="1" ht="18.75" customHeight="1" hidden="1">
      <c r="A234" s="1782"/>
      <c s="1782"/>
      <c s="371" t="s">
        <v>1147</v>
      </c>
      <c s="2464"/>
      <c s="2206"/>
      <c s="2385"/>
      <c s="2429"/>
      <c s="1502"/>
      <c s="653" t="s">
        <v>1146</v>
      </c>
      <c s="573"/>
      <c s="1502"/>
      <c s="216"/>
      <c s="343"/>
      <c s="336"/>
      <c s="1626"/>
      <c s="1626"/>
      <c r="AH234" s="1633">
        <v>0</v>
      </c>
    </row>
    <row r="235" spans="1:34" s="1637" customFormat="1" ht="0.75" customHeight="1" hidden="1">
      <c r="A235" s="1782"/>
      <c s="1782"/>
      <c s="371" t="s">
        <v>1154</v>
      </c>
      <c s="2464"/>
      <c s="2206"/>
      <c s="2385"/>
      <c s="402"/>
      <c s="1502"/>
      <c s="653"/>
      <c s="573"/>
      <c s="1502"/>
      <c s="216"/>
      <c s="343"/>
      <c s="336"/>
      <c s="1626"/>
      <c s="1626"/>
      <c r="AH235" s="1633">
        <v>0</v>
      </c>
    </row>
    <row r="236" spans="1:34" s="1637" customFormat="1" ht="18.75" customHeight="1" hidden="1">
      <c r="A236" s="1782" t="s">
        <v>225</v>
      </c>
      <c s="1782" t="s">
        <v>226</v>
      </c>
      <c s="371"/>
      <c s="2464"/>
      <c s="2206"/>
      <c s="2385" t="str">
        <f>INDEX(PT_DIFFERENTIATION_VTAR,MATCH(A236,PT_DIFFERENTIATION_VTAR_ID,0))</f>
        <v>Тариф на питьевую воду (питьевое водоснабжение)</v>
      </c>
      <c s="2429" t="str">
        <f>INDEX(PT_DIFFERENTIATION_NTAR,MATCH(B236,PT_DIFFERENTIATION_NTAR_ID,0))</f>
        <v/>
      </c>
      <c s="1864"/>
      <c s="1741"/>
      <c s="1775"/>
      <c s="1780"/>
      <c s="1864" t="s">
        <v>306</v>
      </c>
      <c s="343"/>
      <c s="336"/>
      <c s="1626"/>
      <c s="1626"/>
      <c r="AH236" s="1633">
        <v>0</v>
      </c>
    </row>
    <row r="237" spans="1:34" s="1637" customFormat="1" ht="18.75" customHeight="1" hidden="1">
      <c r="A237" s="1782"/>
      <c s="1782"/>
      <c s="371" t="s">
        <v>1147</v>
      </c>
      <c s="2464"/>
      <c s="2206"/>
      <c s="2385"/>
      <c s="2429"/>
      <c s="1502"/>
      <c s="653" t="s">
        <v>1146</v>
      </c>
      <c s="573"/>
      <c s="1502"/>
      <c s="216"/>
      <c s="343"/>
      <c s="336"/>
      <c s="1626"/>
      <c s="1626"/>
      <c r="AH237" s="1633">
        <v>0</v>
      </c>
    </row>
    <row r="238" spans="1:34" s="1637" customFormat="1" ht="0.75" customHeight="1" hidden="1">
      <c r="A238" s="1782"/>
      <c s="1782"/>
      <c s="371" t="s">
        <v>1154</v>
      </c>
      <c s="2464"/>
      <c s="2206"/>
      <c s="2385"/>
      <c s="402"/>
      <c s="1502"/>
      <c s="653"/>
      <c s="573"/>
      <c s="1502"/>
      <c s="216"/>
      <c s="343"/>
      <c s="336"/>
      <c s="1626"/>
      <c s="1626"/>
      <c r="AH238" s="1633">
        <v>0</v>
      </c>
    </row>
    <row r="239" spans="1:34" s="1637" customFormat="1" ht="18.75" customHeight="1" hidden="1">
      <c r="A239" s="1782" t="s">
        <v>230</v>
      </c>
      <c s="1782" t="s">
        <v>231</v>
      </c>
      <c s="371"/>
      <c s="2464"/>
      <c s="2206"/>
      <c s="2385" t="str">
        <f>INDEX(PT_DIFFERENTIATION_VTAR,MATCH(A239,PT_DIFFERENTIATION_VTAR_ID,0))</f>
        <v>Тариф на техническую воду</v>
      </c>
      <c s="2429" t="str">
        <f>INDEX(PT_DIFFERENTIATION_NTAR,MATCH(B239,PT_DIFFERENTIATION_NTAR_ID,0))</f>
        <v/>
      </c>
      <c s="1864"/>
      <c s="1741"/>
      <c s="1775"/>
      <c s="1780"/>
      <c s="1864" t="s">
        <v>306</v>
      </c>
      <c s="343"/>
      <c s="336"/>
      <c s="1626"/>
      <c s="1626"/>
      <c r="AH239" s="1633">
        <v>0</v>
      </c>
    </row>
    <row r="240" spans="1:34" s="1637" customFormat="1" ht="18.75" customHeight="1" hidden="1">
      <c r="A240" s="1782"/>
      <c s="1782"/>
      <c s="371" t="s">
        <v>1147</v>
      </c>
      <c s="2464"/>
      <c s="2206"/>
      <c s="2385"/>
      <c s="2429"/>
      <c s="1502"/>
      <c s="653" t="s">
        <v>1146</v>
      </c>
      <c s="573"/>
      <c s="1502"/>
      <c s="216"/>
      <c s="343"/>
      <c s="336"/>
      <c s="1626"/>
      <c s="1626"/>
      <c r="AH240" s="1633">
        <v>0</v>
      </c>
    </row>
    <row r="241" spans="1:34" s="1637" customFormat="1" ht="0.75" customHeight="1" hidden="1">
      <c r="A241" s="1782"/>
      <c s="1782"/>
      <c s="371" t="s">
        <v>1154</v>
      </c>
      <c s="2464"/>
      <c s="2206"/>
      <c s="2385"/>
      <c s="402"/>
      <c s="1502"/>
      <c s="653"/>
      <c s="573"/>
      <c s="1502"/>
      <c s="216"/>
      <c s="343"/>
      <c s="336"/>
      <c s="1626"/>
      <c s="1626"/>
      <c r="AH241" s="1633">
        <v>0</v>
      </c>
    </row>
    <row r="242" spans="1:34" s="1637" customFormat="1" ht="18.75" customHeight="1" hidden="1">
      <c r="A242" s="1782" t="s">
        <v>235</v>
      </c>
      <c s="1782" t="s">
        <v>236</v>
      </c>
      <c s="371"/>
      <c s="2464"/>
      <c s="2206"/>
      <c s="2385" t="str">
        <f>INDEX(PT_DIFFERENTIATION_VTAR,MATCH(A242,PT_DIFFERENTIATION_VTAR_ID,0))</f>
        <v>Тариф на транспортировку воды</v>
      </c>
      <c s="2429" t="str">
        <f>INDEX(PT_DIFFERENTIATION_NTAR,MATCH(B242,PT_DIFFERENTIATION_NTAR_ID,0))</f>
        <v/>
      </c>
      <c s="1864"/>
      <c s="1741"/>
      <c s="1775"/>
      <c s="1780"/>
      <c s="1864" t="s">
        <v>306</v>
      </c>
      <c s="343"/>
      <c s="336"/>
      <c s="1626"/>
      <c s="1626"/>
      <c r="AH242" s="1633">
        <v>0</v>
      </c>
    </row>
    <row r="243" spans="1:34" s="1637" customFormat="1" ht="18.75" customHeight="1" hidden="1">
      <c r="A243" s="1782"/>
      <c s="1782"/>
      <c s="371" t="s">
        <v>1147</v>
      </c>
      <c s="2464"/>
      <c s="2206"/>
      <c s="2385"/>
      <c s="2429"/>
      <c s="1502"/>
      <c s="653" t="s">
        <v>1146</v>
      </c>
      <c s="573"/>
      <c s="1502"/>
      <c s="216"/>
      <c s="343"/>
      <c s="336"/>
      <c s="1626"/>
      <c s="1626"/>
      <c r="AH243" s="1633">
        <v>0</v>
      </c>
    </row>
    <row r="244" spans="1:34" s="1637" customFormat="1" ht="0.75" customHeight="1" hidden="1">
      <c r="A244" s="1782"/>
      <c s="1782"/>
      <c s="371" t="s">
        <v>1154</v>
      </c>
      <c s="2464"/>
      <c s="2206"/>
      <c s="2385"/>
      <c s="402"/>
      <c s="1502"/>
      <c s="653"/>
      <c s="573"/>
      <c s="1502"/>
      <c s="216"/>
      <c s="343"/>
      <c s="336"/>
      <c s="1626"/>
      <c s="1626"/>
      <c r="AH244" s="1633">
        <v>0</v>
      </c>
    </row>
    <row r="245" spans="1:34" s="1637" customFormat="1" ht="18.75" customHeight="1" hidden="1">
      <c r="A245" s="1782" t="s">
        <v>240</v>
      </c>
      <c s="1782" t="s">
        <v>241</v>
      </c>
      <c s="371"/>
      <c s="2464"/>
      <c s="2206"/>
      <c s="2385" t="str">
        <f>INDEX(PT_DIFFERENTIATION_VTAR,MATCH(A245,PT_DIFFERENTIATION_VTAR_ID,0))</f>
        <v>Тариф на подвоз воды</v>
      </c>
      <c s="2429" t="str">
        <f>INDEX(PT_DIFFERENTIATION_NTAR,MATCH(B245,PT_DIFFERENTIATION_NTAR_ID,0))</f>
        <v/>
      </c>
      <c s="1864"/>
      <c s="1741"/>
      <c s="1775"/>
      <c s="1780"/>
      <c s="1864" t="s">
        <v>306</v>
      </c>
      <c s="343"/>
      <c s="336"/>
      <c s="1626"/>
      <c s="1626"/>
      <c r="AH245" s="1633">
        <v>0</v>
      </c>
    </row>
    <row r="246" spans="1:34" s="1637" customFormat="1" ht="18.75" customHeight="1" hidden="1">
      <c r="A246" s="1782"/>
      <c s="1782"/>
      <c s="371" t="s">
        <v>1147</v>
      </c>
      <c s="2464"/>
      <c s="2206"/>
      <c s="2385"/>
      <c s="2429"/>
      <c s="1502"/>
      <c s="653" t="s">
        <v>1146</v>
      </c>
      <c s="573"/>
      <c s="1502"/>
      <c s="216"/>
      <c s="343"/>
      <c s="336"/>
      <c s="1626"/>
      <c s="1626"/>
      <c r="AH246" s="1633">
        <v>0</v>
      </c>
    </row>
    <row r="247" spans="1:34" s="1637" customFormat="1" ht="0.75" customHeight="1" hidden="1">
      <c r="A247" s="1782"/>
      <c s="1782"/>
      <c s="371" t="s">
        <v>1154</v>
      </c>
      <c s="2464"/>
      <c s="2206"/>
      <c s="2385"/>
      <c s="402"/>
      <c s="1502"/>
      <c s="653"/>
      <c s="573"/>
      <c s="1502"/>
      <c s="216"/>
      <c s="343"/>
      <c s="336"/>
      <c s="1626"/>
      <c s="1626"/>
      <c r="AH247" s="1633">
        <v>0</v>
      </c>
    </row>
    <row r="248" spans="1:34" s="1637" customFormat="1" ht="18.75" customHeight="1" hidden="1">
      <c r="A248" s="1782" t="s">
        <v>245</v>
      </c>
      <c s="1782" t="s">
        <v>246</v>
      </c>
      <c s="371"/>
      <c s="2464"/>
      <c s="2206"/>
      <c s="2385" t="str">
        <f>INDEX(PT_DIFFERENTIATION_VTAR,MATCH(A248,PT_DIFFERENTIATION_VTAR_ID,0))</f>
        <v>Тариф на подключение (технологическое присоединение) к централизованной системе холодного водоснабжения</v>
      </c>
      <c s="2429" t="str">
        <f>INDEX(PT_DIFFERENTIATION_NTAR,MATCH(B248,PT_DIFFERENTIATION_NTAR_ID,0))</f>
        <v/>
      </c>
      <c s="1864"/>
      <c s="1741"/>
      <c s="1775"/>
      <c s="1780"/>
      <c s="1864" t="s">
        <v>306</v>
      </c>
      <c s="343"/>
      <c s="336"/>
      <c s="1626"/>
      <c s="1626"/>
      <c r="AH248" s="1633">
        <v>0</v>
      </c>
    </row>
    <row r="249" spans="1:34" s="1637" customFormat="1" ht="18.75" customHeight="1" hidden="1">
      <c r="A249" s="1782"/>
      <c s="1782"/>
      <c s="371" t="s">
        <v>1147</v>
      </c>
      <c s="2464"/>
      <c s="2206"/>
      <c s="2385"/>
      <c s="2429"/>
      <c s="1502"/>
      <c s="653" t="s">
        <v>1146</v>
      </c>
      <c s="573"/>
      <c s="1502"/>
      <c s="216"/>
      <c s="343"/>
      <c s="336"/>
      <c s="1626"/>
      <c s="1626"/>
      <c r="AH249" s="1633">
        <v>0</v>
      </c>
    </row>
    <row r="250" spans="1:34" s="1637" customFormat="1" ht="0.75" customHeight="1" hidden="1">
      <c r="A250" s="1782"/>
      <c s="1782"/>
      <c s="371" t="s">
        <v>1154</v>
      </c>
      <c s="2464"/>
      <c s="2206"/>
      <c s="2385"/>
      <c s="402"/>
      <c s="1502"/>
      <c s="653"/>
      <c s="573"/>
      <c s="1502"/>
      <c s="216"/>
      <c s="343"/>
      <c s="336"/>
      <c s="1626"/>
      <c s="1626"/>
      <c r="AH250" s="1633">
        <v>0</v>
      </c>
    </row>
    <row r="251" spans="1:34" s="1637" customFormat="1" ht="18.75" customHeight="1" hidden="1">
      <c r="A251" s="1782" t="s">
        <v>250</v>
      </c>
      <c s="1782" t="s">
        <v>251</v>
      </c>
      <c s="371"/>
      <c s="2464"/>
      <c s="2206"/>
      <c s="2385" t="str">
        <f>INDEX(PT_DIFFERENTIATION_VTAR,MATCH(A251,PT_DIFFERENTIATION_VTAR_ID,0))</f>
        <v>Тариф на горячую воду (горячее водоснабжение)</v>
      </c>
      <c s="2429" t="str">
        <f>INDEX(PT_DIFFERENTIATION_NTAR,MATCH(B251,PT_DIFFERENTIATION_NTAR_ID,0))</f>
        <v/>
      </c>
      <c s="1864"/>
      <c s="1741"/>
      <c s="1775"/>
      <c s="1780"/>
      <c s="1864" t="s">
        <v>306</v>
      </c>
      <c s="343"/>
      <c s="336"/>
      <c s="1626"/>
      <c s="1626"/>
      <c r="AH251" s="1633">
        <v>0</v>
      </c>
    </row>
    <row r="252" spans="1:34" s="1637" customFormat="1" ht="18.75" customHeight="1" hidden="1">
      <c r="A252" s="1782"/>
      <c s="1782"/>
      <c s="371" t="s">
        <v>1147</v>
      </c>
      <c s="2464"/>
      <c s="2206"/>
      <c s="2385"/>
      <c s="2429"/>
      <c s="1502"/>
      <c s="653" t="s">
        <v>1146</v>
      </c>
      <c s="573"/>
      <c s="1502"/>
      <c s="216"/>
      <c s="343"/>
      <c s="336"/>
      <c s="1626"/>
      <c s="1626"/>
      <c r="AH252" s="1633">
        <v>0</v>
      </c>
    </row>
    <row r="253" spans="1:34" s="1637" customFormat="1" ht="0.75" customHeight="1" hidden="1">
      <c r="A253" s="1782"/>
      <c s="1782"/>
      <c s="371" t="s">
        <v>1154</v>
      </c>
      <c s="2464"/>
      <c s="2206"/>
      <c s="2385"/>
      <c s="402"/>
      <c s="1502"/>
      <c s="653"/>
      <c s="573"/>
      <c s="1502"/>
      <c s="216"/>
      <c s="343"/>
      <c s="336"/>
      <c s="1626"/>
      <c s="1626"/>
      <c r="AH253" s="1633">
        <v>0</v>
      </c>
    </row>
    <row r="254" spans="1:34" s="1637" customFormat="1" ht="18.75" customHeight="1" hidden="1">
      <c r="A254" s="1782" t="s">
        <v>255</v>
      </c>
      <c s="1782" t="s">
        <v>256</v>
      </c>
      <c s="371"/>
      <c s="2464"/>
      <c s="2206"/>
      <c s="2385" t="str">
        <f>INDEX(PT_DIFFERENTIATION_VTAR,MATCH(A254,PT_DIFFERENTIATION_VTAR_ID,0))</f>
        <v>Тариф на транспортировку горячей воды</v>
      </c>
      <c s="2429" t="str">
        <f>INDEX(PT_DIFFERENTIATION_NTAR,MATCH(B254,PT_DIFFERENTIATION_NTAR_ID,0))</f>
        <v/>
      </c>
      <c s="1864"/>
      <c s="1741"/>
      <c s="1775"/>
      <c s="1780"/>
      <c s="1864" t="s">
        <v>306</v>
      </c>
      <c s="343"/>
      <c s="336"/>
      <c s="1626"/>
      <c s="1626"/>
      <c r="AH254" s="1633">
        <v>0</v>
      </c>
    </row>
    <row r="255" spans="1:34" s="1637" customFormat="1" ht="18.75" customHeight="1" hidden="1">
      <c r="A255" s="1782"/>
      <c s="1782"/>
      <c s="371" t="s">
        <v>1147</v>
      </c>
      <c s="2464"/>
      <c s="2206"/>
      <c s="2385"/>
      <c s="2429"/>
      <c s="1502"/>
      <c s="653" t="s">
        <v>1146</v>
      </c>
      <c s="573"/>
      <c s="1502"/>
      <c s="216"/>
      <c s="343"/>
      <c s="336"/>
      <c s="1626"/>
      <c s="1626"/>
      <c r="AH255" s="1633">
        <v>0</v>
      </c>
    </row>
    <row r="256" spans="1:34" s="1637" customFormat="1" ht="0.75" customHeight="1" hidden="1">
      <c r="A256" s="1782"/>
      <c s="1782"/>
      <c s="371" t="s">
        <v>1154</v>
      </c>
      <c s="2464"/>
      <c s="2206"/>
      <c s="2385"/>
      <c s="402"/>
      <c s="1502"/>
      <c s="653"/>
      <c s="573"/>
      <c s="1502"/>
      <c s="216"/>
      <c s="343"/>
      <c s="336"/>
      <c s="1626"/>
      <c s="1626"/>
      <c r="AH256" s="1633">
        <v>0</v>
      </c>
    </row>
    <row r="257" spans="1:34" s="1637" customFormat="1" ht="18.75" customHeight="1" hidden="1">
      <c r="A257" s="1782" t="s">
        <v>260</v>
      </c>
      <c s="1782" t="s">
        <v>261</v>
      </c>
      <c s="371"/>
      <c s="2464"/>
      <c s="2206"/>
      <c s="2385" t="str">
        <f>INDEX(PT_DIFFERENTIATION_VTAR,MATCH(A257,PT_DIFFERENTIATION_VTAR_ID,0))</f>
        <v>Тариф на подключение (технологическое присоединение) к централизованной системе горячего водоснабжения</v>
      </c>
      <c s="2429" t="str">
        <f>INDEX(PT_DIFFERENTIATION_NTAR,MATCH(B257,PT_DIFFERENTIATION_NTAR_ID,0))</f>
        <v/>
      </c>
      <c s="1864"/>
      <c s="1741"/>
      <c s="1775"/>
      <c s="1780"/>
      <c s="1864" t="s">
        <v>306</v>
      </c>
      <c s="343"/>
      <c s="336"/>
      <c s="1626"/>
      <c s="1626"/>
      <c r="AH257" s="1633">
        <v>0</v>
      </c>
    </row>
    <row r="258" spans="1:34" s="1637" customFormat="1" ht="18.75" customHeight="1" hidden="1">
      <c r="A258" s="1782"/>
      <c s="1782"/>
      <c s="371" t="s">
        <v>1147</v>
      </c>
      <c s="2464"/>
      <c s="2206"/>
      <c s="2385"/>
      <c s="2429"/>
      <c s="1502"/>
      <c s="653" t="s">
        <v>1146</v>
      </c>
      <c s="573"/>
      <c s="1502"/>
      <c s="216"/>
      <c s="343"/>
      <c s="336"/>
      <c s="1626"/>
      <c s="1626"/>
      <c r="AH258" s="1633">
        <v>0</v>
      </c>
    </row>
    <row r="259" spans="1:34" s="1637" customFormat="1" ht="0.75" customHeight="1" hidden="1">
      <c r="A259" s="1782"/>
      <c s="1782"/>
      <c s="371" t="s">
        <v>1154</v>
      </c>
      <c s="2464"/>
      <c s="2206"/>
      <c s="2385"/>
      <c s="402"/>
      <c s="1502"/>
      <c s="653"/>
      <c s="573"/>
      <c s="1502"/>
      <c s="216"/>
      <c s="343"/>
      <c s="336"/>
      <c s="1626"/>
      <c s="1626"/>
      <c r="AH259" s="1633">
        <v>0</v>
      </c>
    </row>
    <row r="260" spans="1:34" s="1637" customFormat="1" ht="18.75" customHeight="1" hidden="1">
      <c r="A260" s="1782" t="s">
        <v>265</v>
      </c>
      <c s="1782" t="s">
        <v>266</v>
      </c>
      <c s="371"/>
      <c s="2464"/>
      <c s="2206"/>
      <c s="2385" t="str">
        <f>INDEX(PT_DIFFERENTIATION_VTAR,MATCH(A260,PT_DIFFERENTIATION_VTAR_ID,0))</f>
        <v>Тариф на водоотведение</v>
      </c>
      <c s="2429" t="str">
        <f>INDEX(PT_DIFFERENTIATION_NTAR,MATCH(B260,PT_DIFFERENTIATION_NTAR_ID,0))</f>
        <v/>
      </c>
      <c s="1864"/>
      <c s="1741"/>
      <c s="1775"/>
      <c s="1780"/>
      <c s="1864" t="s">
        <v>306</v>
      </c>
      <c s="343"/>
      <c s="336"/>
      <c s="1626"/>
      <c s="1626"/>
      <c r="AH260" s="1633">
        <v>0</v>
      </c>
    </row>
    <row r="261" spans="1:34" s="1637" customFormat="1" ht="18.75" customHeight="1" hidden="1">
      <c r="A261" s="1782"/>
      <c s="1782"/>
      <c s="371" t="s">
        <v>1147</v>
      </c>
      <c s="2464"/>
      <c s="2206"/>
      <c s="2385"/>
      <c s="2429"/>
      <c s="1502"/>
      <c s="653" t="s">
        <v>1146</v>
      </c>
      <c s="573"/>
      <c s="1502"/>
      <c s="216"/>
      <c s="343"/>
      <c s="336"/>
      <c s="1626"/>
      <c s="1626"/>
      <c r="AH261" s="1633">
        <v>0</v>
      </c>
    </row>
    <row r="262" spans="1:34" s="1637" customFormat="1" ht="0.75" customHeight="1" hidden="1">
      <c r="A262" s="1782"/>
      <c s="1782"/>
      <c s="371" t="s">
        <v>1154</v>
      </c>
      <c s="2464"/>
      <c s="2206"/>
      <c s="2385"/>
      <c s="402"/>
      <c s="1502"/>
      <c s="653"/>
      <c s="573"/>
      <c s="1502"/>
      <c s="216"/>
      <c s="343"/>
      <c s="336"/>
      <c s="1626"/>
      <c s="1626"/>
      <c r="AH262" s="1633">
        <v>0</v>
      </c>
    </row>
    <row r="263" spans="1:34" s="1637" customFormat="1" ht="18.75" customHeight="1" hidden="1">
      <c r="A263" s="1782" t="s">
        <v>270</v>
      </c>
      <c s="1782" t="s">
        <v>271</v>
      </c>
      <c s="371"/>
      <c s="2464"/>
      <c s="2206"/>
      <c s="2385" t="str">
        <f>INDEX(PT_DIFFERENTIATION_VTAR,MATCH(A263,PT_DIFFERENTIATION_VTAR_ID,0))</f>
        <v>Тариф на транспортировку сточных вод</v>
      </c>
      <c s="2429" t="str">
        <f>INDEX(PT_DIFFERENTIATION_NTAR,MATCH(B263,PT_DIFFERENTIATION_NTAR_ID,0))</f>
        <v/>
      </c>
      <c s="1864"/>
      <c s="1741"/>
      <c s="1775"/>
      <c s="1780"/>
      <c s="1864" t="s">
        <v>306</v>
      </c>
      <c s="343"/>
      <c s="336"/>
      <c s="1626"/>
      <c s="1626"/>
      <c r="AH263" s="1633">
        <v>0</v>
      </c>
    </row>
    <row r="264" spans="1:34" s="1637" customFormat="1" ht="18.75" customHeight="1" hidden="1">
      <c r="A264" s="1782"/>
      <c s="1782"/>
      <c s="371" t="s">
        <v>1147</v>
      </c>
      <c s="2464"/>
      <c s="2206"/>
      <c s="2385"/>
      <c s="2429"/>
      <c s="1502"/>
      <c s="653" t="s">
        <v>1146</v>
      </c>
      <c s="573"/>
      <c s="1502"/>
      <c s="216"/>
      <c s="343"/>
      <c s="336"/>
      <c s="1626"/>
      <c s="1626"/>
      <c r="AH264" s="1633">
        <v>0</v>
      </c>
    </row>
    <row r="265" spans="1:34" s="1637" customFormat="1" ht="0.75" customHeight="1" hidden="1">
      <c r="A265" s="1782"/>
      <c s="1782"/>
      <c s="371" t="s">
        <v>1154</v>
      </c>
      <c s="2464"/>
      <c s="2206"/>
      <c s="2385"/>
      <c s="402"/>
      <c s="1502"/>
      <c s="653"/>
      <c s="573"/>
      <c s="1502"/>
      <c s="216"/>
      <c s="343"/>
      <c s="336"/>
      <c s="1626"/>
      <c s="1626"/>
      <c r="AH265" s="1633">
        <v>0</v>
      </c>
    </row>
    <row r="266" spans="1:34" s="1637" customFormat="1" ht="18.75" customHeight="1" hidden="1">
      <c r="A266" s="1782" t="s">
        <v>275</v>
      </c>
      <c s="1782" t="s">
        <v>276</v>
      </c>
      <c s="371"/>
      <c s="2464"/>
      <c s="2206"/>
      <c s="2385" t="str">
        <f>INDEX(PT_DIFFERENTIATION_VTAR,MATCH(A266,PT_DIFFERENTIATION_VTAR_ID,0))</f>
        <v>Тариф на подключение (технологическое присоединение) к централизованной системе водоотведения</v>
      </c>
      <c s="2429" t="str">
        <f>INDEX(PT_DIFFERENTIATION_NTAR,MATCH(B266,PT_DIFFERENTIATION_NTAR_ID,0))</f>
        <v/>
      </c>
      <c s="1864"/>
      <c s="1741"/>
      <c s="1775"/>
      <c s="1780"/>
      <c s="1864" t="s">
        <v>306</v>
      </c>
      <c s="343"/>
      <c s="336"/>
      <c s="1626"/>
      <c s="1626"/>
      <c r="AH266" s="1633">
        <v>0</v>
      </c>
    </row>
    <row r="267" spans="1:34" s="1637" customFormat="1" ht="18.75" customHeight="1" hidden="1">
      <c r="A267" s="1782"/>
      <c s="1782"/>
      <c s="371" t="s">
        <v>1147</v>
      </c>
      <c s="2464"/>
      <c s="2206"/>
      <c s="2385"/>
      <c s="2429"/>
      <c s="1502"/>
      <c s="653" t="s">
        <v>1146</v>
      </c>
      <c s="573"/>
      <c s="1502"/>
      <c s="216"/>
      <c s="343"/>
      <c s="336"/>
      <c s="1626"/>
      <c s="1626"/>
      <c r="AH267" s="1633">
        <v>0</v>
      </c>
    </row>
    <row r="268" spans="1:34" s="1637" customFormat="1" ht="1.05" customHeight="1">
      <c r="A268" s="1782"/>
      <c s="1782"/>
      <c s="371" t="s">
        <v>1154</v>
      </c>
      <c s="2464"/>
      <c s="2206"/>
      <c s="2385"/>
      <c s="402"/>
      <c s="1502"/>
      <c s="653"/>
      <c s="573"/>
      <c s="1502"/>
      <c s="216"/>
      <c s="343"/>
      <c s="336"/>
      <c s="1626"/>
      <c s="1626"/>
      <c r="AH268" s="1633">
        <v>1</v>
      </c>
    </row>
    <row r="269" spans="1:34" ht="27.3" customHeight="1">
      <c r="A269" s="1782"/>
      <c s="1782"/>
      <c r="D269" s="378"/>
      <c s="149" t="s">
        <v>91</v>
      </c>
      <c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2"/>
      <c s="2462"/>
      <c s="2462"/>
      <c s="2462"/>
      <c s="2462"/>
      <c s="2462"/>
      <c s="299"/>
      <c s="336"/>
      <c r="AH269" s="376">
        <v>26</v>
      </c>
    </row>
    <row r="270" spans="1:34" s="1637" customFormat="1" ht="60.75" customHeight="1" hidden="1">
      <c r="A270" s="1782" t="s">
        <v>157</v>
      </c>
      <c s="1782" t="s">
        <v>158</v>
      </c>
      <c s="371"/>
      <c s="2464"/>
      <c s="2206"/>
      <c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INDEX(PT_DIFFERENTIATION_NTAR,MATCH(B270,PT_DIFFERENTIATION_NTAR_ID,0))</f>
        <v/>
      </c>
      <c s="1864"/>
      <c s="1741"/>
      <c s="1775"/>
      <c s="1780"/>
      <c s="1864" t="s">
        <v>306</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6"/>
      <c s="1626"/>
      <c s="1626"/>
      <c r="AH270" s="1633">
        <v>0</v>
      </c>
    </row>
    <row r="271" spans="1:34" s="1637" customFormat="1" ht="18.75" customHeight="1" hidden="1">
      <c r="A271" s="1782"/>
      <c s="1782"/>
      <c s="371" t="s">
        <v>1147</v>
      </c>
      <c s="2464"/>
      <c s="2206"/>
      <c s="2385"/>
      <c s="2429"/>
      <c s="1502"/>
      <c s="653" t="s">
        <v>1146</v>
      </c>
      <c s="573"/>
      <c s="1502"/>
      <c s="216"/>
      <c s="2172"/>
      <c s="336"/>
      <c s="1626"/>
      <c s="1626"/>
      <c r="AH271" s="1633">
        <v>0</v>
      </c>
    </row>
    <row r="272" spans="1:34" s="1637" customFormat="1" ht="0.75" customHeight="1" hidden="1">
      <c r="A272" s="1782"/>
      <c s="1782"/>
      <c s="371" t="s">
        <v>1154</v>
      </c>
      <c s="2464"/>
      <c s="2206"/>
      <c s="2385"/>
      <c s="402"/>
      <c s="1502"/>
      <c s="653"/>
      <c s="573"/>
      <c s="1502"/>
      <c s="216"/>
      <c s="2172"/>
      <c s="336"/>
      <c s="1626"/>
      <c s="1626"/>
      <c r="AH272" s="1633">
        <v>0</v>
      </c>
    </row>
    <row r="273" spans="1:34" s="1637" customFormat="1" ht="45" customHeight="1" hidden="1">
      <c r="A273" s="1782" t="s">
        <v>162</v>
      </c>
      <c s="1782" t="s">
        <v>163</v>
      </c>
      <c s="371"/>
      <c s="2464"/>
      <c s="2206"/>
      <c s="2385" t="str">
        <f>INDEX(PT_DIFFERENTIATION_VTAR,MATCH(A273,PT_DIFFERENTIATION_VTAR_ID,0))</f>
        <v/>
      </c>
      <c s="2429" t="str">
        <f>INDEX(PT_DIFFERENTIATION_NTAR,MATCH(B273,PT_DIFFERENTIATION_NTAR_ID,0))</f>
        <v/>
      </c>
      <c s="1864"/>
      <c s="1741"/>
      <c s="1775"/>
      <c s="1780"/>
      <c s="1864" t="s">
        <v>306</v>
      </c>
      <c s="2173"/>
      <c s="336"/>
      <c s="1626"/>
      <c s="1626"/>
      <c r="AH273" s="1633">
        <v>0</v>
      </c>
    </row>
    <row r="274" spans="1:34" s="1637" customFormat="1" ht="18.75" customHeight="1" hidden="1">
      <c r="A274" s="1782"/>
      <c s="1782"/>
      <c s="371" t="s">
        <v>1147</v>
      </c>
      <c s="2464"/>
      <c s="2206"/>
      <c s="2385"/>
      <c s="2429"/>
      <c s="1502"/>
      <c s="653" t="s">
        <v>1146</v>
      </c>
      <c s="573"/>
      <c s="1502"/>
      <c s="216"/>
      <c s="1863"/>
      <c s="336"/>
      <c s="1626"/>
      <c s="1626"/>
      <c r="AH274" s="1633">
        <v>0</v>
      </c>
    </row>
    <row r="275" spans="1:34" s="1637" customFormat="1" ht="0.75" customHeight="1" hidden="1">
      <c r="A275" s="1782"/>
      <c s="1782"/>
      <c s="371" t="s">
        <v>1154</v>
      </c>
      <c s="2464"/>
      <c s="2206"/>
      <c s="2385"/>
      <c s="402"/>
      <c s="1502"/>
      <c s="653"/>
      <c s="573"/>
      <c s="1502"/>
      <c s="216"/>
      <c s="343"/>
      <c s="336"/>
      <c s="1626"/>
      <c s="1626"/>
      <c r="AH275" s="1633">
        <v>0</v>
      </c>
    </row>
    <row r="276" spans="1:34" s="1637" customFormat="1" ht="45" customHeight="1" hidden="1">
      <c r="A276" s="1782" t="s">
        <v>169</v>
      </c>
      <c s="1782" t="s">
        <v>170</v>
      </c>
      <c s="371"/>
      <c s="2464"/>
      <c s="2206"/>
      <c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INDEX(PT_DIFFERENTIATION_NTAR,MATCH(B276,PT_DIFFERENTIATION_NTAR_ID,0))</f>
        <v/>
      </c>
      <c s="1864"/>
      <c s="1741"/>
      <c s="1775"/>
      <c s="1780"/>
      <c s="1864" t="s">
        <v>306</v>
      </c>
      <c s="343"/>
      <c s="336"/>
      <c s="1626"/>
      <c s="1626"/>
      <c r="AH276" s="1633">
        <v>0</v>
      </c>
    </row>
    <row r="277" spans="1:34" s="1637" customFormat="1" ht="18.75" customHeight="1" hidden="1">
      <c r="A277" s="1782"/>
      <c s="1782"/>
      <c s="371" t="s">
        <v>1147</v>
      </c>
      <c s="2464"/>
      <c s="2206"/>
      <c s="2385"/>
      <c s="2429"/>
      <c s="1502"/>
      <c s="653" t="s">
        <v>1146</v>
      </c>
      <c s="573"/>
      <c s="1502"/>
      <c s="216"/>
      <c s="343"/>
      <c s="336"/>
      <c s="1626"/>
      <c s="1626"/>
      <c r="AH277" s="1633">
        <v>0</v>
      </c>
    </row>
    <row r="278" spans="1:34" s="1637" customFormat="1" ht="0.75" customHeight="1" hidden="1">
      <c r="A278" s="1782"/>
      <c s="1782"/>
      <c s="371" t="s">
        <v>1154</v>
      </c>
      <c s="2464"/>
      <c s="2206"/>
      <c s="2385"/>
      <c s="402"/>
      <c s="1502"/>
      <c s="653"/>
      <c s="573"/>
      <c s="1502"/>
      <c s="216"/>
      <c s="343"/>
      <c s="336"/>
      <c s="1626"/>
      <c s="1626"/>
      <c r="AH278" s="1633">
        <v>0</v>
      </c>
    </row>
    <row r="279" spans="1:34" s="1637" customFormat="1" ht="45" customHeight="1" hidden="1">
      <c r="A279" s="1782" t="s">
        <v>175</v>
      </c>
      <c s="1782" t="s">
        <v>176</v>
      </c>
      <c s="371"/>
      <c s="2464"/>
      <c s="2206"/>
      <c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INDEX(PT_DIFFERENTIATION_NTAR,MATCH(B279,PT_DIFFERENTIATION_NTAR_ID,0))</f>
        <v/>
      </c>
      <c s="1864"/>
      <c s="1741"/>
      <c s="1775"/>
      <c s="1780"/>
      <c s="1864" t="s">
        <v>306</v>
      </c>
      <c s="343"/>
      <c s="336"/>
      <c s="1626"/>
      <c s="1626"/>
      <c r="AH279" s="1633">
        <v>0</v>
      </c>
    </row>
    <row r="280" spans="1:34" s="1637" customFormat="1" ht="18.75" customHeight="1" hidden="1">
      <c r="A280" s="1782"/>
      <c s="1782"/>
      <c s="371" t="s">
        <v>1147</v>
      </c>
      <c s="2464"/>
      <c s="2206"/>
      <c s="2385"/>
      <c s="2429"/>
      <c s="1502"/>
      <c s="653" t="s">
        <v>1146</v>
      </c>
      <c s="573"/>
      <c s="1502"/>
      <c s="216"/>
      <c s="343"/>
      <c s="336"/>
      <c s="1626"/>
      <c s="1626"/>
      <c r="AH280" s="1633">
        <v>0</v>
      </c>
    </row>
    <row r="281" spans="1:34" s="1637" customFormat="1" ht="0.75" customHeight="1" hidden="1">
      <c r="A281" s="1782"/>
      <c s="1782"/>
      <c s="371" t="s">
        <v>1154</v>
      </c>
      <c s="2464"/>
      <c s="2206"/>
      <c s="2385"/>
      <c s="402"/>
      <c s="1502"/>
      <c s="653"/>
      <c s="573"/>
      <c s="1502"/>
      <c s="216"/>
      <c s="343"/>
      <c s="336"/>
      <c s="1626"/>
      <c s="1626"/>
      <c r="AH281" s="1633">
        <v>0</v>
      </c>
    </row>
    <row r="282" spans="1:34" s="1637" customFormat="1" ht="18.75" customHeight="1" hidden="1">
      <c r="A282" s="1782" t="s">
        <v>181</v>
      </c>
      <c s="1782" t="s">
        <v>182</v>
      </c>
      <c s="371"/>
      <c s="2464"/>
      <c s="2206"/>
      <c s="2385" t="str">
        <f>INDEX(PT_DIFFERENTIATION_VTAR,MATCH(A282,PT_DIFFERENTIATION_VTAR_ID,0))</f>
        <v>Тарифы на услуги по передаче тепловой энергии</v>
      </c>
      <c s="2429" t="str">
        <f>INDEX(PT_DIFFERENTIATION_NTAR,MATCH(B282,PT_DIFFERENTIATION_NTAR_ID,0))</f>
        <v/>
      </c>
      <c s="1864"/>
      <c s="1741"/>
      <c s="1775"/>
      <c s="1780"/>
      <c s="1864" t="s">
        <v>306</v>
      </c>
      <c s="343"/>
      <c s="336"/>
      <c s="1626"/>
      <c s="1626"/>
      <c r="AH282" s="1633">
        <v>0</v>
      </c>
    </row>
    <row r="283" spans="1:34" s="1637" customFormat="1" ht="18.75" customHeight="1" hidden="1">
      <c r="A283" s="1782"/>
      <c s="1782"/>
      <c s="371" t="s">
        <v>1147</v>
      </c>
      <c s="2464"/>
      <c s="2206"/>
      <c s="2385"/>
      <c s="2429"/>
      <c s="1502"/>
      <c s="653" t="s">
        <v>1146</v>
      </c>
      <c s="573"/>
      <c s="1502"/>
      <c s="216"/>
      <c s="343"/>
      <c s="336"/>
      <c s="1626"/>
      <c s="1626"/>
      <c r="AH283" s="1633">
        <v>0</v>
      </c>
    </row>
    <row r="284" spans="1:34" s="1637" customFormat="1" ht="0.75" customHeight="1" hidden="1">
      <c r="A284" s="1782"/>
      <c s="1782"/>
      <c s="371" t="s">
        <v>1154</v>
      </c>
      <c s="2464"/>
      <c s="2206"/>
      <c s="2385"/>
      <c s="402"/>
      <c s="1502"/>
      <c s="653"/>
      <c s="573"/>
      <c s="1502"/>
      <c s="216"/>
      <c s="343"/>
      <c s="336"/>
      <c s="1626"/>
      <c s="1626"/>
      <c r="AH284" s="1633">
        <v>0</v>
      </c>
    </row>
    <row r="285" spans="1:34" s="1637" customFormat="1" ht="18.75" customHeight="1" hidden="1">
      <c r="A285" s="1782" t="s">
        <v>187</v>
      </c>
      <c s="1782" t="s">
        <v>188</v>
      </c>
      <c s="371"/>
      <c s="2464"/>
      <c s="2206"/>
      <c s="2385" t="str">
        <f>INDEX(PT_DIFFERENTIATION_VTAR,MATCH(A285,PT_DIFFERENTIATION_VTAR_ID,0))</f>
        <v>Тарифы на услуги по передаче теплоносителя</v>
      </c>
      <c s="2429" t="str">
        <f>INDEX(PT_DIFFERENTIATION_NTAR,MATCH(B285,PT_DIFFERENTIATION_NTAR_ID,0))</f>
        <v/>
      </c>
      <c s="1864"/>
      <c s="1741"/>
      <c s="1775"/>
      <c s="1780"/>
      <c s="1864" t="s">
        <v>306</v>
      </c>
      <c s="343"/>
      <c s="336"/>
      <c s="1626"/>
      <c s="1626"/>
      <c r="AH285" s="1633">
        <v>0</v>
      </c>
    </row>
    <row r="286" spans="1:34" s="1637" customFormat="1" ht="18.75" customHeight="1" hidden="1">
      <c r="A286" s="1782"/>
      <c s="1782"/>
      <c s="371" t="s">
        <v>1147</v>
      </c>
      <c s="2464"/>
      <c s="2206"/>
      <c s="2385"/>
      <c s="2429"/>
      <c s="1502"/>
      <c s="653" t="s">
        <v>1146</v>
      </c>
      <c s="573"/>
      <c s="1502"/>
      <c s="216"/>
      <c s="343"/>
      <c s="336"/>
      <c s="1626"/>
      <c s="1626"/>
      <c r="AH286" s="1633">
        <v>0</v>
      </c>
    </row>
    <row r="287" spans="1:34" s="1637" customFormat="1" ht="0.75" customHeight="1" hidden="1">
      <c r="A287" s="1782"/>
      <c s="1782"/>
      <c s="371" t="s">
        <v>1154</v>
      </c>
      <c s="2464"/>
      <c s="2206"/>
      <c s="2385"/>
      <c s="402"/>
      <c s="1502"/>
      <c s="653"/>
      <c s="573"/>
      <c s="1502"/>
      <c s="216"/>
      <c s="343"/>
      <c s="336"/>
      <c s="1626"/>
      <c s="1626"/>
      <c r="AH287" s="1633">
        <v>0</v>
      </c>
    </row>
    <row r="288" spans="1:34" s="1637" customFormat="1" ht="18.75" customHeight="1" hidden="1">
      <c r="A288" s="1782" t="s">
        <v>193</v>
      </c>
      <c s="1782" t="s">
        <v>194</v>
      </c>
      <c s="371"/>
      <c s="2464"/>
      <c s="2206"/>
      <c s="2385" t="str">
        <f>INDEX(PT_DIFFERENTIATION_VTAR,MATCH(A288,PT_DIFFERENTIATION_VTAR_ID,0))</f>
        <v>Плата за услуги по поддержанию резервной тепловой мощности при отсутствии потребления тепловой энергии</v>
      </c>
      <c s="2429" t="str">
        <f>INDEX(PT_DIFFERENTIATION_NTAR,MATCH(B288,PT_DIFFERENTIATION_NTAR_ID,0))</f>
        <v/>
      </c>
      <c s="1864"/>
      <c s="1741"/>
      <c s="1775"/>
      <c s="1780"/>
      <c s="1864" t="s">
        <v>306</v>
      </c>
      <c s="343"/>
      <c s="336"/>
      <c s="1626"/>
      <c s="1626"/>
      <c r="AH288" s="1633">
        <v>0</v>
      </c>
    </row>
    <row r="289" spans="1:34" s="1637" customFormat="1" ht="18.75" customHeight="1" hidden="1">
      <c r="A289" s="1782"/>
      <c s="1782"/>
      <c s="371" t="s">
        <v>1147</v>
      </c>
      <c s="2464"/>
      <c s="2206"/>
      <c s="2385"/>
      <c s="2429"/>
      <c s="1502"/>
      <c s="653" t="s">
        <v>1146</v>
      </c>
      <c s="573"/>
      <c s="1502"/>
      <c s="216"/>
      <c s="343"/>
      <c s="336"/>
      <c s="1626"/>
      <c s="1626"/>
      <c r="AH289" s="1633">
        <v>0</v>
      </c>
    </row>
    <row r="290" spans="1:34" s="1637" customFormat="1" ht="0.75" customHeight="1" hidden="1">
      <c r="A290" s="1782"/>
      <c s="1782"/>
      <c s="371" t="s">
        <v>1154</v>
      </c>
      <c s="2464"/>
      <c s="2206"/>
      <c s="2385"/>
      <c s="402"/>
      <c s="1502"/>
      <c s="653"/>
      <c s="573"/>
      <c s="1502"/>
      <c s="216"/>
      <c s="343"/>
      <c s="336"/>
      <c s="1626"/>
      <c s="1626"/>
      <c r="AH290" s="1633">
        <v>0</v>
      </c>
    </row>
    <row r="291" spans="1:34" s="1637" customFormat="1" ht="18.75" customHeight="1" hidden="1">
      <c r="A291" s="1782" t="s">
        <v>199</v>
      </c>
      <c s="1782" t="s">
        <v>200</v>
      </c>
      <c s="371"/>
      <c s="2464"/>
      <c s="2206"/>
      <c s="2385" t="str">
        <f>INDEX(PT_DIFFERENTIATION_VTAR,MATCH(A291,PT_DIFFERENTIATION_VTAR_ID,0))</f>
        <v>Плата за подключение (технологическое присоединение) к системе теплоснабжения</v>
      </c>
      <c s="2429" t="str">
        <f>INDEX(PT_DIFFERENTIATION_NTAR,MATCH(B291,PT_DIFFERENTIATION_NTAR_ID,0))</f>
        <v/>
      </c>
      <c s="1864"/>
      <c s="1741"/>
      <c s="1775"/>
      <c s="1780"/>
      <c s="1864" t="s">
        <v>306</v>
      </c>
      <c s="343"/>
      <c s="336"/>
      <c s="1626"/>
      <c s="1626"/>
      <c r="AH291" s="1633">
        <v>0</v>
      </c>
    </row>
    <row r="292" spans="1:34" s="1637" customFormat="1" ht="18.75" customHeight="1" hidden="1">
      <c r="A292" s="1782"/>
      <c s="1782"/>
      <c s="371" t="s">
        <v>1147</v>
      </c>
      <c s="2464"/>
      <c s="2206"/>
      <c s="2385"/>
      <c s="2429"/>
      <c s="1502"/>
      <c s="653" t="s">
        <v>1146</v>
      </c>
      <c s="573"/>
      <c s="1502"/>
      <c s="216"/>
      <c s="343"/>
      <c s="336"/>
      <c s="1626"/>
      <c s="1626"/>
      <c r="AH292" s="1633">
        <v>0</v>
      </c>
    </row>
    <row r="293" spans="1:34" s="1637" customFormat="1" ht="0.75" customHeight="1" hidden="1">
      <c r="A293" s="1782"/>
      <c s="1782"/>
      <c s="371" t="s">
        <v>1154</v>
      </c>
      <c s="2464"/>
      <c s="2206"/>
      <c s="2385"/>
      <c s="402"/>
      <c s="1502"/>
      <c s="653"/>
      <c s="573"/>
      <c s="1502"/>
      <c s="216"/>
      <c s="343"/>
      <c s="336"/>
      <c s="1626"/>
      <c s="1626"/>
      <c r="AH293" s="1633">
        <v>0</v>
      </c>
    </row>
    <row r="294" spans="1:34" s="1637" customFormat="1" ht="18.75" customHeight="1" hidden="1">
      <c r="A294" s="1782" t="s">
        <v>205</v>
      </c>
      <c s="1782" t="s">
        <v>206</v>
      </c>
      <c s="371"/>
      <c s="2464"/>
      <c s="2206"/>
      <c s="2385" t="str">
        <f>INDEX(PT_DIFFERENTIATION_VTAR,MATCH(A294,PT_DIFFERENTIATION_VTAR_ID,0))</f>
        <v>Плата за подключение (технологическое присоединение) к системе теплоснабжения (индивидуальная)</v>
      </c>
      <c s="2429" t="str">
        <f>INDEX(PT_DIFFERENTIATION_NTAR,MATCH(B294,PT_DIFFERENTIATION_NTAR_ID,0))</f>
        <v/>
      </c>
      <c s="1991"/>
      <c s="1741"/>
      <c s="1775"/>
      <c s="1780"/>
      <c s="1991" t="s">
        <v>306</v>
      </c>
      <c s="343"/>
      <c s="336"/>
      <c s="1626"/>
      <c s="1626"/>
      <c r="AH294" s="1633">
        <v>0</v>
      </c>
    </row>
    <row r="295" spans="1:34" s="1637" customFormat="1" ht="18.75" customHeight="1" hidden="1">
      <c r="A295" s="1782"/>
      <c s="1782"/>
      <c s="371" t="s">
        <v>1147</v>
      </c>
      <c s="2464"/>
      <c s="2206"/>
      <c s="2385"/>
      <c s="2429"/>
      <c s="1502"/>
      <c s="653" t="s">
        <v>1146</v>
      </c>
      <c s="573"/>
      <c s="1502"/>
      <c s="216"/>
      <c s="343"/>
      <c s="336"/>
      <c s="1626"/>
      <c s="1626"/>
      <c r="AH295" s="1633">
        <v>0</v>
      </c>
    </row>
    <row r="296" spans="1:34" s="1637" customFormat="1" ht="0.75" customHeight="1" hidden="1">
      <c r="A296" s="1782"/>
      <c s="1782"/>
      <c s="371" t="s">
        <v>1154</v>
      </c>
      <c s="2464"/>
      <c s="2206"/>
      <c s="2385"/>
      <c s="402"/>
      <c s="1502"/>
      <c s="653"/>
      <c s="573"/>
      <c s="1502"/>
      <c s="216"/>
      <c s="343"/>
      <c s="336"/>
      <c s="1626"/>
      <c s="1626"/>
      <c r="AH296" s="1633">
        <v>0</v>
      </c>
    </row>
    <row r="297" spans="1:34" s="1637" customFormat="1" ht="18.75" customHeight="1" hidden="1">
      <c r="A297" s="1782" t="s">
        <v>225</v>
      </c>
      <c s="1782" t="s">
        <v>226</v>
      </c>
      <c s="371"/>
      <c s="2464"/>
      <c s="2206"/>
      <c s="2385" t="str">
        <f>INDEX(PT_DIFFERENTIATION_VTAR,MATCH(A297,PT_DIFFERENTIATION_VTAR_ID,0))</f>
        <v>Тариф на питьевую воду (питьевое водоснабжение)</v>
      </c>
      <c s="2429" t="str">
        <f>INDEX(PT_DIFFERENTIATION_NTAR,MATCH(B297,PT_DIFFERENTIATION_NTAR_ID,0))</f>
        <v/>
      </c>
      <c s="1864"/>
      <c s="1741"/>
      <c s="1775"/>
      <c s="1780"/>
      <c s="1864" t="s">
        <v>306</v>
      </c>
      <c s="343"/>
      <c s="336"/>
      <c s="1626"/>
      <c s="1626"/>
      <c r="AH297" s="1633">
        <v>0</v>
      </c>
    </row>
    <row r="298" spans="1:34" s="1637" customFormat="1" ht="18.75" customHeight="1" hidden="1">
      <c r="A298" s="1782"/>
      <c s="1782"/>
      <c s="371" t="s">
        <v>1147</v>
      </c>
      <c s="2464"/>
      <c s="2206"/>
      <c s="2385"/>
      <c s="2429"/>
      <c s="1502"/>
      <c s="653" t="s">
        <v>1146</v>
      </c>
      <c s="573"/>
      <c s="1502"/>
      <c s="216"/>
      <c s="343"/>
      <c s="336"/>
      <c s="1626"/>
      <c s="1626"/>
      <c r="AH298" s="1633">
        <v>0</v>
      </c>
    </row>
    <row r="299" spans="1:34" s="1637" customFormat="1" ht="0.75" customHeight="1" hidden="1">
      <c r="A299" s="1782"/>
      <c s="1782"/>
      <c s="371" t="s">
        <v>1154</v>
      </c>
      <c s="2464"/>
      <c s="2206"/>
      <c s="2385"/>
      <c s="402"/>
      <c s="1502"/>
      <c s="653"/>
      <c s="573"/>
      <c s="1502"/>
      <c s="216"/>
      <c s="343"/>
      <c s="336"/>
      <c s="1626"/>
      <c s="1626"/>
      <c r="AH299" s="1633">
        <v>0</v>
      </c>
    </row>
    <row r="300" spans="1:34" s="1637" customFormat="1" ht="18.75" customHeight="1" hidden="1">
      <c r="A300" s="1782" t="s">
        <v>230</v>
      </c>
      <c s="1782" t="s">
        <v>231</v>
      </c>
      <c s="371"/>
      <c s="2464"/>
      <c s="2206"/>
      <c s="2385" t="str">
        <f>INDEX(PT_DIFFERENTIATION_VTAR,MATCH(A300,PT_DIFFERENTIATION_VTAR_ID,0))</f>
        <v>Тариф на техническую воду</v>
      </c>
      <c s="2429" t="str">
        <f>INDEX(PT_DIFFERENTIATION_NTAR,MATCH(B300,PT_DIFFERENTIATION_NTAR_ID,0))</f>
        <v/>
      </c>
      <c s="1864"/>
      <c s="1741"/>
      <c s="1775"/>
      <c s="1780"/>
      <c s="1864" t="s">
        <v>306</v>
      </c>
      <c s="343"/>
      <c s="336"/>
      <c s="1626"/>
      <c s="1626"/>
      <c r="AH300" s="1633">
        <v>0</v>
      </c>
    </row>
    <row r="301" spans="1:34" s="1637" customFormat="1" ht="18.75" customHeight="1" hidden="1">
      <c r="A301" s="1782"/>
      <c s="1782"/>
      <c s="371" t="s">
        <v>1147</v>
      </c>
      <c s="2464"/>
      <c s="2206"/>
      <c s="2385"/>
      <c s="2429"/>
      <c s="1502"/>
      <c s="653" t="s">
        <v>1146</v>
      </c>
      <c s="573"/>
      <c s="1502"/>
      <c s="216"/>
      <c s="343"/>
      <c s="336"/>
      <c s="1626"/>
      <c s="1626"/>
      <c r="AH301" s="1633">
        <v>0</v>
      </c>
    </row>
    <row r="302" spans="1:34" s="1637" customFormat="1" ht="0.75" customHeight="1" hidden="1">
      <c r="A302" s="1782"/>
      <c s="1782"/>
      <c s="371" t="s">
        <v>1154</v>
      </c>
      <c s="2464"/>
      <c s="2206"/>
      <c s="2385"/>
      <c s="402"/>
      <c s="1502"/>
      <c s="653"/>
      <c s="573"/>
      <c s="1502"/>
      <c s="216"/>
      <c s="343"/>
      <c s="336"/>
      <c s="1626"/>
      <c s="1626"/>
      <c r="AH302" s="1633">
        <v>0</v>
      </c>
    </row>
    <row r="303" spans="1:34" s="1637" customFormat="1" ht="18.75" customHeight="1" hidden="1">
      <c r="A303" s="1782" t="s">
        <v>235</v>
      </c>
      <c s="1782" t="s">
        <v>236</v>
      </c>
      <c s="371"/>
      <c s="2464"/>
      <c s="2206"/>
      <c s="2385" t="str">
        <f>INDEX(PT_DIFFERENTIATION_VTAR,MATCH(A303,PT_DIFFERENTIATION_VTAR_ID,0))</f>
        <v>Тариф на транспортировку воды</v>
      </c>
      <c s="2429" t="str">
        <f>INDEX(PT_DIFFERENTIATION_NTAR,MATCH(B303,PT_DIFFERENTIATION_NTAR_ID,0))</f>
        <v/>
      </c>
      <c s="1864"/>
      <c s="1741"/>
      <c s="1775"/>
      <c s="1780"/>
      <c s="1864" t="s">
        <v>306</v>
      </c>
      <c s="343"/>
      <c s="336"/>
      <c s="1626"/>
      <c s="1626"/>
      <c r="AH303" s="1633">
        <v>0</v>
      </c>
    </row>
    <row r="304" spans="1:34" s="1637" customFormat="1" ht="18.75" customHeight="1" hidden="1">
      <c r="A304" s="1782"/>
      <c s="1782"/>
      <c s="371" t="s">
        <v>1147</v>
      </c>
      <c s="2464"/>
      <c s="2206"/>
      <c s="2385"/>
      <c s="2429"/>
      <c s="1502"/>
      <c s="653" t="s">
        <v>1146</v>
      </c>
      <c s="573"/>
      <c s="1502"/>
      <c s="216"/>
      <c s="343"/>
      <c s="336"/>
      <c s="1626"/>
      <c s="1626"/>
      <c r="AH304" s="1633">
        <v>0</v>
      </c>
    </row>
    <row r="305" spans="1:34" s="1637" customFormat="1" ht="0.75" customHeight="1" hidden="1">
      <c r="A305" s="1782"/>
      <c s="1782"/>
      <c s="371" t="s">
        <v>1154</v>
      </c>
      <c s="2464"/>
      <c s="2206"/>
      <c s="2385"/>
      <c s="402"/>
      <c s="1502"/>
      <c s="653"/>
      <c s="573"/>
      <c s="1502"/>
      <c s="216"/>
      <c s="343"/>
      <c s="336"/>
      <c s="1626"/>
      <c s="1626"/>
      <c r="AH305" s="1633">
        <v>0</v>
      </c>
    </row>
    <row r="306" spans="1:34" s="1637" customFormat="1" ht="18.75" customHeight="1" hidden="1">
      <c r="A306" s="1782" t="s">
        <v>240</v>
      </c>
      <c s="1782" t="s">
        <v>241</v>
      </c>
      <c s="371"/>
      <c s="2464"/>
      <c s="2206"/>
      <c s="2385" t="str">
        <f>INDEX(PT_DIFFERENTIATION_VTAR,MATCH(A306,PT_DIFFERENTIATION_VTAR_ID,0))</f>
        <v>Тариф на подвоз воды</v>
      </c>
      <c s="2429" t="str">
        <f>INDEX(PT_DIFFERENTIATION_NTAR,MATCH(B306,PT_DIFFERENTIATION_NTAR_ID,0))</f>
        <v/>
      </c>
      <c s="1864"/>
      <c s="1741"/>
      <c s="1775"/>
      <c s="1780"/>
      <c s="1864" t="s">
        <v>306</v>
      </c>
      <c s="343"/>
      <c s="336"/>
      <c s="1626"/>
      <c s="1626"/>
      <c r="AH306" s="1633">
        <v>0</v>
      </c>
    </row>
    <row r="307" spans="1:34" s="1637" customFormat="1" ht="18.75" customHeight="1" hidden="1">
      <c r="A307" s="1782"/>
      <c s="1782"/>
      <c s="371" t="s">
        <v>1147</v>
      </c>
      <c s="2464"/>
      <c s="2206"/>
      <c s="2385"/>
      <c s="2429"/>
      <c s="1502"/>
      <c s="653" t="s">
        <v>1146</v>
      </c>
      <c s="573"/>
      <c s="1502"/>
      <c s="216"/>
      <c s="343"/>
      <c s="336"/>
      <c s="1626"/>
      <c s="1626"/>
      <c r="AH307" s="1633">
        <v>0</v>
      </c>
    </row>
    <row r="308" spans="1:34" s="1637" customFormat="1" ht="0.75" customHeight="1" hidden="1">
      <c r="A308" s="1782"/>
      <c s="1782"/>
      <c s="371" t="s">
        <v>1154</v>
      </c>
      <c s="2464"/>
      <c s="2206"/>
      <c s="2385"/>
      <c s="402"/>
      <c s="1502"/>
      <c s="653"/>
      <c s="573"/>
      <c s="1502"/>
      <c s="216"/>
      <c s="343"/>
      <c s="336"/>
      <c s="1626"/>
      <c s="1626"/>
      <c r="AH308" s="1633">
        <v>0</v>
      </c>
    </row>
    <row r="309" spans="1:34" s="1637" customFormat="1" ht="18.75" customHeight="1" hidden="1">
      <c r="A309" s="1782" t="s">
        <v>245</v>
      </c>
      <c s="1782" t="s">
        <v>246</v>
      </c>
      <c s="371"/>
      <c s="2464"/>
      <c s="2206"/>
      <c s="2385" t="str">
        <f>INDEX(PT_DIFFERENTIATION_VTAR,MATCH(A309,PT_DIFFERENTIATION_VTAR_ID,0))</f>
        <v>Тариф на подключение (технологическое присоединение) к централизованной системе холодного водоснабжения</v>
      </c>
      <c s="2429" t="str">
        <f>INDEX(PT_DIFFERENTIATION_NTAR,MATCH(B309,PT_DIFFERENTIATION_NTAR_ID,0))</f>
        <v/>
      </c>
      <c s="1864"/>
      <c s="1741"/>
      <c s="1775"/>
      <c s="1780"/>
      <c s="1864" t="s">
        <v>306</v>
      </c>
      <c s="343"/>
      <c s="336"/>
      <c s="1626"/>
      <c s="1626"/>
      <c r="AH309" s="1633">
        <v>0</v>
      </c>
    </row>
    <row r="310" spans="1:34" s="1637" customFormat="1" ht="18.75" customHeight="1" hidden="1">
      <c r="A310" s="1782"/>
      <c s="1782"/>
      <c s="371" t="s">
        <v>1147</v>
      </c>
      <c s="2464"/>
      <c s="2206"/>
      <c s="2385"/>
      <c s="2429"/>
      <c s="1502"/>
      <c s="653" t="s">
        <v>1146</v>
      </c>
      <c s="573"/>
      <c s="1502"/>
      <c s="216"/>
      <c s="343"/>
      <c s="336"/>
      <c s="1626"/>
      <c s="1626"/>
      <c r="AH310" s="1633">
        <v>0</v>
      </c>
    </row>
    <row r="311" spans="1:34" s="1637" customFormat="1" ht="0.75" customHeight="1" hidden="1">
      <c r="A311" s="1782"/>
      <c s="1782"/>
      <c s="371" t="s">
        <v>1154</v>
      </c>
      <c s="2464"/>
      <c s="2206"/>
      <c s="2385"/>
      <c s="402"/>
      <c s="1502"/>
      <c s="653"/>
      <c s="573"/>
      <c s="1502"/>
      <c s="216"/>
      <c s="343"/>
      <c s="336"/>
      <c s="1626"/>
      <c s="1626"/>
      <c r="AH311" s="1633">
        <v>0</v>
      </c>
    </row>
    <row r="312" spans="1:34" s="1637" customFormat="1" ht="18.75" customHeight="1" hidden="1">
      <c r="A312" s="1782" t="s">
        <v>250</v>
      </c>
      <c s="1782" t="s">
        <v>251</v>
      </c>
      <c s="371"/>
      <c s="2464"/>
      <c s="2206"/>
      <c s="2385" t="str">
        <f>INDEX(PT_DIFFERENTIATION_VTAR,MATCH(A312,PT_DIFFERENTIATION_VTAR_ID,0))</f>
        <v>Тариф на горячую воду (горячее водоснабжение)</v>
      </c>
      <c s="2429" t="str">
        <f>INDEX(PT_DIFFERENTIATION_NTAR,MATCH(B312,PT_DIFFERENTIATION_NTAR_ID,0))</f>
        <v/>
      </c>
      <c s="1864"/>
      <c s="1741"/>
      <c s="1775"/>
      <c s="1780"/>
      <c s="1864" t="s">
        <v>306</v>
      </c>
      <c s="343"/>
      <c s="336"/>
      <c s="1626"/>
      <c s="1626"/>
      <c r="AH312" s="1633">
        <v>0</v>
      </c>
    </row>
    <row r="313" spans="1:34" s="1637" customFormat="1" ht="18.75" customHeight="1" hidden="1">
      <c r="A313" s="1782"/>
      <c s="1782"/>
      <c s="371" t="s">
        <v>1147</v>
      </c>
      <c s="2464"/>
      <c s="2206"/>
      <c s="2385"/>
      <c s="2429"/>
      <c s="1502"/>
      <c s="653" t="s">
        <v>1146</v>
      </c>
      <c s="573"/>
      <c s="1502"/>
      <c s="216"/>
      <c s="343"/>
      <c s="336"/>
      <c s="1626"/>
      <c s="1626"/>
      <c r="AH313" s="1633">
        <v>0</v>
      </c>
    </row>
    <row r="314" spans="1:34" s="1637" customFormat="1" ht="0.75" customHeight="1" hidden="1">
      <c r="A314" s="1782"/>
      <c s="1782"/>
      <c s="371" t="s">
        <v>1154</v>
      </c>
      <c s="2464"/>
      <c s="2206"/>
      <c s="2385"/>
      <c s="402"/>
      <c s="1502"/>
      <c s="653"/>
      <c s="573"/>
      <c s="1502"/>
      <c s="216"/>
      <c s="343"/>
      <c s="336"/>
      <c s="1626"/>
      <c s="1626"/>
      <c r="AH314" s="1633">
        <v>0</v>
      </c>
    </row>
    <row r="315" spans="1:34" s="1637" customFormat="1" ht="18.75" customHeight="1" hidden="1">
      <c r="A315" s="1782" t="s">
        <v>255</v>
      </c>
      <c s="1782" t="s">
        <v>256</v>
      </c>
      <c s="371"/>
      <c s="2464"/>
      <c s="2206"/>
      <c s="2385" t="str">
        <f>INDEX(PT_DIFFERENTIATION_VTAR,MATCH(A315,PT_DIFFERENTIATION_VTAR_ID,0))</f>
        <v>Тариф на транспортировку горячей воды</v>
      </c>
      <c s="2429" t="str">
        <f>INDEX(PT_DIFFERENTIATION_NTAR,MATCH(B315,PT_DIFFERENTIATION_NTAR_ID,0))</f>
        <v/>
      </c>
      <c s="1864"/>
      <c s="1741"/>
      <c s="1775"/>
      <c s="1780"/>
      <c s="1864" t="s">
        <v>306</v>
      </c>
      <c s="343"/>
      <c s="336"/>
      <c s="1626"/>
      <c s="1626"/>
      <c r="AH315" s="1633">
        <v>0</v>
      </c>
    </row>
    <row r="316" spans="1:34" s="1637" customFormat="1" ht="18.75" customHeight="1" hidden="1">
      <c r="A316" s="1782"/>
      <c s="1782"/>
      <c s="371" t="s">
        <v>1147</v>
      </c>
      <c s="2464"/>
      <c s="2206"/>
      <c s="2385"/>
      <c s="2429"/>
      <c s="1502"/>
      <c s="653" t="s">
        <v>1146</v>
      </c>
      <c s="573"/>
      <c s="1502"/>
      <c s="216"/>
      <c s="343"/>
      <c s="336"/>
      <c s="1626"/>
      <c s="1626"/>
      <c r="AH316" s="1633">
        <v>0</v>
      </c>
    </row>
    <row r="317" spans="1:34" s="1637" customFormat="1" ht="0.75" customHeight="1" hidden="1">
      <c r="A317" s="1782"/>
      <c s="1782"/>
      <c s="371" t="s">
        <v>1154</v>
      </c>
      <c s="2464"/>
      <c s="2206"/>
      <c s="2385"/>
      <c s="402"/>
      <c s="1502"/>
      <c s="653"/>
      <c s="573"/>
      <c s="1502"/>
      <c s="216"/>
      <c s="343"/>
      <c s="336"/>
      <c s="1626"/>
      <c s="1626"/>
      <c r="AH317" s="1633">
        <v>0</v>
      </c>
    </row>
    <row r="318" spans="1:34" s="1637" customFormat="1" ht="18.75" customHeight="1" hidden="1">
      <c r="A318" s="1782" t="s">
        <v>260</v>
      </c>
      <c s="1782" t="s">
        <v>261</v>
      </c>
      <c s="371"/>
      <c s="2464"/>
      <c s="2206"/>
      <c s="2385" t="str">
        <f>INDEX(PT_DIFFERENTIATION_VTAR,MATCH(A318,PT_DIFFERENTIATION_VTAR_ID,0))</f>
        <v>Тариф на подключение (технологическое присоединение) к централизованной системе горячего водоснабжения</v>
      </c>
      <c s="2429" t="str">
        <f>INDEX(PT_DIFFERENTIATION_NTAR,MATCH(B318,PT_DIFFERENTIATION_NTAR_ID,0))</f>
        <v/>
      </c>
      <c s="1864"/>
      <c s="1741"/>
      <c s="1775"/>
      <c s="1780"/>
      <c s="1864" t="s">
        <v>306</v>
      </c>
      <c s="343"/>
      <c s="336"/>
      <c s="1626"/>
      <c s="1626"/>
      <c r="AH318" s="1633">
        <v>0</v>
      </c>
    </row>
    <row r="319" spans="1:34" s="1637" customFormat="1" ht="18.75" customHeight="1" hidden="1">
      <c r="A319" s="1782"/>
      <c s="1782"/>
      <c s="371" t="s">
        <v>1147</v>
      </c>
      <c s="2464"/>
      <c s="2206"/>
      <c s="2385"/>
      <c s="2429"/>
      <c s="1502"/>
      <c s="653" t="s">
        <v>1146</v>
      </c>
      <c s="573"/>
      <c s="1502"/>
      <c s="216"/>
      <c s="343"/>
      <c s="336"/>
      <c s="1626"/>
      <c s="1626"/>
      <c r="AH319" s="1633">
        <v>0</v>
      </c>
    </row>
    <row r="320" spans="1:34" s="1637" customFormat="1" ht="0.75" customHeight="1" hidden="1">
      <c r="A320" s="1782"/>
      <c s="1782"/>
      <c s="371" t="s">
        <v>1154</v>
      </c>
      <c s="2464"/>
      <c s="2206"/>
      <c s="2385"/>
      <c s="402"/>
      <c s="1502"/>
      <c s="653"/>
      <c s="573"/>
      <c s="1502"/>
      <c s="216"/>
      <c s="343"/>
      <c s="336"/>
      <c s="1626"/>
      <c s="1626"/>
      <c r="AH320" s="1633">
        <v>0</v>
      </c>
    </row>
    <row r="321" spans="1:34" s="1637" customFormat="1" ht="18.75" customHeight="1" hidden="1">
      <c r="A321" s="1782" t="s">
        <v>265</v>
      </c>
      <c s="1782" t="s">
        <v>266</v>
      </c>
      <c s="371"/>
      <c s="2464"/>
      <c s="2206"/>
      <c s="2385" t="str">
        <f>INDEX(PT_DIFFERENTIATION_VTAR,MATCH(A321,PT_DIFFERENTIATION_VTAR_ID,0))</f>
        <v>Тариф на водоотведение</v>
      </c>
      <c s="2429" t="str">
        <f>INDEX(PT_DIFFERENTIATION_NTAR,MATCH(B321,PT_DIFFERENTIATION_NTAR_ID,0))</f>
        <v/>
      </c>
      <c s="1864"/>
      <c s="1741"/>
      <c s="1775"/>
      <c s="1780"/>
      <c s="1864" t="s">
        <v>306</v>
      </c>
      <c s="343"/>
      <c s="336"/>
      <c s="1626"/>
      <c s="1626"/>
      <c r="AH321" s="1633">
        <v>0</v>
      </c>
    </row>
    <row r="322" spans="1:34" s="1637" customFormat="1" ht="18.75" customHeight="1" hidden="1">
      <c r="A322" s="1782"/>
      <c s="1782"/>
      <c s="371" t="s">
        <v>1147</v>
      </c>
      <c s="2464"/>
      <c s="2206"/>
      <c s="2385"/>
      <c s="2429"/>
      <c s="1502"/>
      <c s="653" t="s">
        <v>1146</v>
      </c>
      <c s="573"/>
      <c s="1502"/>
      <c s="216"/>
      <c s="343"/>
      <c s="336"/>
      <c s="1626"/>
      <c s="1626"/>
      <c r="AH322" s="1633">
        <v>0</v>
      </c>
    </row>
    <row r="323" spans="1:34" s="1637" customFormat="1" ht="0.75" customHeight="1" hidden="1">
      <c r="A323" s="1782"/>
      <c s="1782"/>
      <c s="371" t="s">
        <v>1154</v>
      </c>
      <c s="2464"/>
      <c s="2206"/>
      <c s="2385"/>
      <c s="402"/>
      <c s="1502"/>
      <c s="653"/>
      <c s="573"/>
      <c s="1502"/>
      <c s="216"/>
      <c s="343"/>
      <c s="336"/>
      <c s="1626"/>
      <c s="1626"/>
      <c r="AH323" s="1633">
        <v>0</v>
      </c>
    </row>
    <row r="324" spans="1:34" s="1637" customFormat="1" ht="18.75" customHeight="1" hidden="1">
      <c r="A324" s="1782" t="s">
        <v>270</v>
      </c>
      <c s="1782" t="s">
        <v>271</v>
      </c>
      <c s="371"/>
      <c s="2464"/>
      <c s="2206"/>
      <c s="2385" t="str">
        <f>INDEX(PT_DIFFERENTIATION_VTAR,MATCH(A324,PT_DIFFERENTIATION_VTAR_ID,0))</f>
        <v>Тариф на транспортировку сточных вод</v>
      </c>
      <c s="2429" t="str">
        <f>INDEX(PT_DIFFERENTIATION_NTAR,MATCH(B324,PT_DIFFERENTIATION_NTAR_ID,0))</f>
        <v/>
      </c>
      <c s="1864"/>
      <c s="1741"/>
      <c s="1775"/>
      <c s="1780"/>
      <c s="1864" t="s">
        <v>306</v>
      </c>
      <c s="343"/>
      <c s="336"/>
      <c s="1626"/>
      <c s="1626"/>
      <c r="AH324" s="1633">
        <v>0</v>
      </c>
    </row>
    <row r="325" spans="1:34" s="1637" customFormat="1" ht="18.75" customHeight="1" hidden="1">
      <c r="A325" s="1782"/>
      <c s="1782"/>
      <c s="371" t="s">
        <v>1147</v>
      </c>
      <c s="2464"/>
      <c s="2206"/>
      <c s="2385"/>
      <c s="2429"/>
      <c s="1502"/>
      <c s="653" t="s">
        <v>1146</v>
      </c>
      <c s="573"/>
      <c s="1502"/>
      <c s="216"/>
      <c s="343"/>
      <c s="336"/>
      <c s="1626"/>
      <c s="1626"/>
      <c r="AH325" s="1633">
        <v>0</v>
      </c>
    </row>
    <row r="326" spans="1:34" s="1637" customFormat="1" ht="0.75" customHeight="1" hidden="1">
      <c r="A326" s="1782"/>
      <c s="1782"/>
      <c s="371" t="s">
        <v>1154</v>
      </c>
      <c s="2464"/>
      <c s="2206"/>
      <c s="2385"/>
      <c s="402"/>
      <c s="1502"/>
      <c s="653"/>
      <c s="573"/>
      <c s="1502"/>
      <c s="216"/>
      <c s="343"/>
      <c s="336"/>
      <c s="1626"/>
      <c s="1626"/>
      <c r="AH326" s="1633">
        <v>0</v>
      </c>
    </row>
    <row r="327" spans="1:34" s="1637" customFormat="1" ht="18.75" customHeight="1" hidden="1">
      <c r="A327" s="1782" t="s">
        <v>275</v>
      </c>
      <c s="1782" t="s">
        <v>276</v>
      </c>
      <c s="371"/>
      <c s="2464"/>
      <c s="2206"/>
      <c s="2385" t="str">
        <f>INDEX(PT_DIFFERENTIATION_VTAR,MATCH(A327,PT_DIFFERENTIATION_VTAR_ID,0))</f>
        <v>Тариф на подключение (технологическое присоединение) к централизованной системе водоотведения</v>
      </c>
      <c s="2429" t="str">
        <f>INDEX(PT_DIFFERENTIATION_NTAR,MATCH(B327,PT_DIFFERENTIATION_NTAR_ID,0))</f>
        <v/>
      </c>
      <c s="1864"/>
      <c s="1741"/>
      <c s="1775"/>
      <c s="1780"/>
      <c s="1864" t="s">
        <v>306</v>
      </c>
      <c s="343"/>
      <c s="336"/>
      <c s="1626"/>
      <c s="1626"/>
      <c r="AH327" s="1633">
        <v>0</v>
      </c>
    </row>
    <row r="328" spans="1:34" s="1637" customFormat="1" ht="18.75" customHeight="1" hidden="1">
      <c r="A328" s="1782"/>
      <c s="1782"/>
      <c s="371" t="s">
        <v>1147</v>
      </c>
      <c s="2464"/>
      <c s="2206"/>
      <c s="2385"/>
      <c s="2429"/>
      <c s="1502"/>
      <c s="653" t="s">
        <v>1146</v>
      </c>
      <c s="573"/>
      <c s="1502"/>
      <c s="216"/>
      <c s="343"/>
      <c s="336"/>
      <c s="1626"/>
      <c s="1626"/>
      <c r="AH328" s="1633">
        <v>0</v>
      </c>
    </row>
    <row r="329" spans="1:34" s="1637" customFormat="1" ht="1.05" customHeight="1">
      <c r="A329" s="1782"/>
      <c s="1782"/>
      <c s="371" t="s">
        <v>1154</v>
      </c>
      <c s="2464"/>
      <c s="2206"/>
      <c s="2385"/>
      <c s="402"/>
      <c s="1502"/>
      <c s="653"/>
      <c s="573"/>
      <c s="1502"/>
      <c s="216"/>
      <c s="343"/>
      <c s="336"/>
      <c s="1626"/>
      <c s="1626"/>
      <c r="AH329" s="1633">
        <v>1</v>
      </c>
    </row>
    <row r="330" spans="1:34" s="1825" customFormat="1" ht="3" customHeight="1">
      <c r="A330" s="1782"/>
      <c s="1782"/>
      <c s="1783"/>
      <c r="E330" s="404"/>
      <c s="404"/>
      <c s="404"/>
      <c s="404"/>
      <c s="404"/>
      <c s="404"/>
      <c s="404"/>
      <c s="404"/>
      <c s="404"/>
      <c r="O330" s="198"/>
      <c s="198"/>
      <c r="AH330" s="142">
        <v>3</v>
      </c>
    </row>
    <row r="331" spans="5:34" ht="26.25" customHeight="1">
      <c r="E331" s="204"/>
      <c s="2287"/>
      <c s="2287"/>
      <c s="2287"/>
      <c s="2287"/>
      <c s="2287"/>
      <c s="2287"/>
      <c s="2287"/>
      <c s="2287"/>
      <c r="AH331" s="376">
        <v>25</v>
      </c>
    </row>
    <row r="332" spans="1:34" ht="14.25" customHeight="1" hidden="1">
      <c r="A332" s="1781" t="s">
        <v>81</v>
      </c>
      <c s="1781">
        <v>0</v>
      </c>
      <c s="371">
        <v>0</v>
      </c>
      <c s="346">
        <v>3</v>
      </c>
      <c s="376">
        <v>6</v>
      </c>
      <c s="376">
        <v>46</v>
      </c>
      <c s="376">
        <v>35</v>
      </c>
      <c s="376">
        <v>3</v>
      </c>
      <c s="376">
        <v>11</v>
      </c>
      <c s="376">
        <v>11</v>
      </c>
      <c s="376">
        <v>35</v>
      </c>
      <c s="376">
        <v>35</v>
      </c>
      <c s="376">
        <v>84</v>
      </c>
      <c s="376">
        <v>10</v>
      </c>
      <c s="352">
        <v>10</v>
      </c>
      <c s="352">
        <v>10</v>
      </c>
      <c s="376">
        <v>10</v>
      </c>
      <c s="376">
        <v>10</v>
      </c>
      <c s="376">
        <v>10</v>
      </c>
      <c s="376">
        <v>10</v>
      </c>
      <c s="376">
        <v>10</v>
      </c>
      <c s="376">
        <v>10</v>
      </c>
      <c s="376">
        <v>10</v>
      </c>
      <c s="376">
        <v>10</v>
      </c>
      <c s="376">
        <v>10</v>
      </c>
      <c s="376">
        <v>10</v>
      </c>
      <c s="376">
        <v>10</v>
      </c>
      <c s="376">
        <v>10</v>
      </c>
      <c s="376">
        <v>10</v>
      </c>
      <c s="376">
        <v>10</v>
      </c>
      <c s="376">
        <v>10</v>
      </c>
      <c s="376">
        <v>10</v>
      </c>
      <c s="376">
        <v>10</v>
      </c>
      <c s="376">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DF9D825-64EB-121E-B243-0.4401655F}"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9" hidden="1" customWidth="1"/>
    <col min="2" max="2" width="9.14285714285714" style="1368" hidden="1" customWidth="1"/>
    <col min="3" max="3" width="3" style="346" customWidth="1"/>
    <col min="4" max="4" width="6" style="1637" customWidth="1"/>
    <col min="5" max="5" width="53" style="1637" customWidth="1"/>
    <col min="6" max="7" width="35" style="1637" customWidth="1"/>
    <col min="8" max="8" width="89" style="1637" customWidth="1"/>
    <col min="9" max="9" width="10" style="1637" customWidth="1"/>
    <col min="10" max="11" width="10" style="1626" customWidth="1"/>
    <col min="12" max="17" width="10" style="1637" customWidth="1"/>
    <col min="18" max="18" width="10.5714285714286" style="1637" hidden="1"/>
  </cols>
  <sheetData>
    <row r="1" spans="14:18" ht="22.5" customHeight="1" hidden="1">
      <c r="N1" s="257"/>
      <c s="257"/>
      <c r="Q1" s="257"/>
      <c s="376" t="s">
        <v>14</v>
      </c>
    </row>
    <row r="2" spans="1:18" s="1637" customFormat="1" ht="18.75" customHeight="1" hidden="1">
      <c r="A2" s="104"/>
      <c s="1162"/>
      <c s="1732" t="s">
        <v>689</v>
      </c>
      <c s="1675"/>
      <c s="1684"/>
      <c s="259"/>
      <c s="1163"/>
      <c s="376"/>
      <c s="1626"/>
      <c s="1626"/>
      <c r="R2" s="1633">
        <v>0</v>
      </c>
    </row>
    <row r="3" spans="18:18" ht="14.25" customHeight="1" hidden="1">
      <c r="R3" s="376">
        <v>0</v>
      </c>
    </row>
    <row r="4" spans="3:18" ht="6.3" customHeight="1">
      <c r="C4" s="378"/>
      <c s="365"/>
      <c s="365"/>
      <c s="365"/>
      <c s="87"/>
      <c s="87"/>
      <c r="R4" s="376">
        <v>6</v>
      </c>
    </row>
    <row r="5" spans="3:18" ht="34.5" customHeight="1">
      <c r="C5" s="378"/>
      <c s="245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2457"/>
      <c s="2457"/>
      <c s="2458"/>
      <c s="268"/>
      <c r="R5" s="376">
        <v>33</v>
      </c>
    </row>
    <row r="6" spans="1:18" s="1637" customFormat="1" ht="18" customHeight="1">
      <c r="A6" s="1671"/>
      <c s="1162"/>
      <c s="378"/>
      <c s="2459" t="str">
        <f>IF(org=0,"Не определено",org)</f>
        <v>ГУП КК "Кубаньводкомплекс"</v>
      </c>
      <c s="2460"/>
      <c s="2460"/>
      <c s="2461"/>
      <c s="268"/>
      <c r="J6" s="1626"/>
      <c s="1626"/>
      <c r="R6" s="1633">
        <v>17</v>
      </c>
    </row>
    <row r="7" spans="3:18" ht="14.7" customHeight="1">
      <c r="C7" s="378"/>
      <c s="365"/>
      <c s="391"/>
      <c s="391"/>
      <c s="754"/>
      <c s="195"/>
      <c r="R7" s="376">
        <v>14</v>
      </c>
    </row>
    <row r="8" spans="3:18" ht="14.7" customHeight="1">
      <c r="C8" s="378"/>
      <c s="2211" t="s">
        <v>300</v>
      </c>
      <c s="2211"/>
      <c s="2211"/>
      <c s="2211"/>
      <c s="2391" t="s">
        <v>301</v>
      </c>
      <c r="R8" s="376">
        <v>14</v>
      </c>
    </row>
    <row r="9" spans="3:18" ht="24" customHeight="1">
      <c r="C9" s="378"/>
      <c s="388" t="s">
        <v>87</v>
      </c>
      <c s="110" t="s">
        <v>302</v>
      </c>
      <c s="110" t="s">
        <v>303</v>
      </c>
      <c s="110" t="s">
        <v>390</v>
      </c>
      <c s="2391"/>
      <c r="R9" s="376">
        <v>23</v>
      </c>
    </row>
    <row r="10" spans="1:18" ht="14.7" customHeight="1">
      <c r="A10" s="345"/>
      <c r="C10" s="378"/>
      <c s="149" t="s">
        <v>109</v>
      </c>
      <c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259"/>
      <c s="215"/>
      <c s="2171" t="s">
        <v>1155</v>
      </c>
      <c r="R10" s="376">
        <v>14</v>
      </c>
    </row>
    <row r="11" spans="1:18" ht="14.7" customHeight="1">
      <c r="A11" s="345"/>
      <c r="C11" s="378"/>
      <c s="149" t="s">
        <v>110</v>
      </c>
      <c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259"/>
      <c s="215"/>
      <c s="2172"/>
      <c r="R11" s="376">
        <v>14</v>
      </c>
    </row>
    <row r="12" spans="1:18" ht="14.7" customHeight="1">
      <c r="A12" s="104"/>
      <c r="C12" s="389"/>
      <c s="149" t="s">
        <v>89</v>
      </c>
      <c s="390" t="str">
        <f>"Сведения о планировании закупочных процедур"&amp;IF(TEMPLATE_SPHERE="TKO"," &lt;1&gt;","")</f>
        <v>Сведения о планировании закупочных процедур</v>
      </c>
      <c s="259"/>
      <c s="215"/>
      <c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2"/>
      <c r="K12" s="376"/>
      <c r="R12" s="376">
        <v>14</v>
      </c>
    </row>
    <row r="13" spans="1:18" ht="14.7" customHeight="1">
      <c r="A13" s="104"/>
      <c r="C13" s="389"/>
      <c s="149" t="s">
        <v>90</v>
      </c>
      <c s="390" t="str">
        <f>"Сведения о результатах проведения закупочных процедур"&amp;IF(TEMPLATE_SPHERE="TKO"," &lt;1&gt;","")</f>
        <v>Сведения о результатах проведения закупочных процедур</v>
      </c>
      <c s="259"/>
      <c s="215"/>
      <c s="2172"/>
      <c s="352"/>
      <c r="K13" s="376"/>
      <c r="R13" s="376">
        <v>14</v>
      </c>
    </row>
    <row r="14" spans="1:18" ht="14.7" customHeight="1">
      <c r="A14" s="345"/>
      <c r="C14" s="378"/>
      <c s="349"/>
      <c s="397" t="s">
        <v>322</v>
      </c>
      <c s="351"/>
      <c s="203"/>
      <c s="2173"/>
      <c r="R14" s="376">
        <v>14</v>
      </c>
    </row>
    <row r="15" spans="1:18" s="1637" customFormat="1" ht="14.7" customHeight="1">
      <c r="A15" s="345"/>
      <c s="1162"/>
      <c s="378"/>
      <c s="398"/>
      <c s="1679"/>
      <c s="1680"/>
      <c s="1681"/>
      <c s="1682"/>
      <c r="J15" s="1626"/>
      <c s="1626"/>
      <c r="R15" s="1633">
        <v>14</v>
      </c>
    </row>
    <row r="16" spans="4:18" ht="14.7" customHeight="1">
      <c r="D16" s="1683"/>
      <c s="2387"/>
      <c s="2387"/>
      <c s="2387"/>
      <c s="2387"/>
      <c r="R16" s="376">
        <v>14</v>
      </c>
    </row>
    <row r="17" spans="1:18" ht="22.5" customHeight="1" hidden="1">
      <c r="A17" s="366" t="s">
        <v>81</v>
      </c>
      <c s="148">
        <v>0</v>
      </c>
      <c s="346">
        <v>3</v>
      </c>
      <c s="376">
        <v>6</v>
      </c>
      <c s="376">
        <v>53</v>
      </c>
      <c s="376">
        <v>35</v>
      </c>
      <c s="376">
        <v>35</v>
      </c>
      <c s="376">
        <v>89</v>
      </c>
      <c s="376">
        <v>10</v>
      </c>
      <c s="352">
        <v>10</v>
      </c>
      <c s="352">
        <v>10</v>
      </c>
      <c s="376">
        <v>10</v>
      </c>
      <c s="376">
        <v>10</v>
      </c>
      <c s="376">
        <v>10</v>
      </c>
      <c s="376">
        <v>10</v>
      </c>
      <c s="376">
        <v>10</v>
      </c>
      <c s="376">
        <v>10</v>
      </c>
      <c s="376">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 type="textLength" operator="lessThanOrEqual" allowBlank="1" showInputMessage="1" showErrorMessage="1" errorTitle="Ошибка" error="Допускается ввод не более 900 символов!" sqref="E2:F2 H10 E13 F10:F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18699BD-07DA-A856-7111-0.456E9133}" mc:Ignorable="x14ac xr xr2 xr3">
  <sheetPr>
    <tabColor theme="2" tint="-0.0999799966812134"/>
  </sheetPr>
  <dimension ref="A1:V30"/>
  <sheetViews>
    <sheetView showGridLines="0" zoomScale="90" zoomScaleNormal="90" workbookViewId="0" topLeftCell="A1">
      <selection pane="topLeft" activeCell="A1" sqref="A1"/>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47" style="1637" customWidth="1"/>
    <col min="6" max="6" width="9" style="1637" customWidth="1"/>
    <col min="7" max="7" width="25.7142857142857" style="1637" hidden="1" customWidth="1"/>
    <col min="8" max="8" width="34" style="1637" hidden="1" customWidth="1"/>
    <col min="9" max="9" width="25.7142857142857" style="1637" customWidth="1"/>
    <col min="10" max="10" width="33" style="1637" customWidth="1"/>
    <col min="11" max="11" width="50" style="1368" customWidth="1"/>
    <col min="12" max="20" width="10" style="1637" customWidth="1"/>
    <col min="21" max="21" width="10" style="677" customWidth="1"/>
    <col min="22" max="22" width="10.5714285714286" style="1637" hidden="1"/>
  </cols>
  <sheetData>
    <row r="1" spans="3:22" s="1368" customFormat="1" ht="22.5" customHeight="1" hidden="1">
      <c r="C1" s="674"/>
      <c r="G1" s="419">
        <v>4</v>
      </c>
      <c r="I1" s="419">
        <v>4</v>
      </c>
      <c r="U1" s="422"/>
      <c s="419" t="s">
        <v>14</v>
      </c>
    </row>
    <row r="2" spans="1:22" s="1637" customFormat="1" ht="15" customHeight="1" hidden="1">
      <c r="A2" s="364"/>
      <c r="C2" s="178"/>
      <c s="348"/>
      <c s="675"/>
      <c s="524"/>
      <c s="618"/>
      <c s="618"/>
      <c s="618"/>
      <c s="618"/>
      <c r="U2" s="676"/>
      <c s="511">
        <v>0</v>
      </c>
    </row>
    <row r="3" spans="3:22" s="1368" customFormat="1" ht="15" customHeight="1" hidden="1">
      <c r="C3" s="674"/>
      <c r="U3" s="422"/>
      <c s="419">
        <v>0</v>
      </c>
    </row>
    <row r="4" spans="3:22" ht="15.75" customHeight="1">
      <c r="C4" s="178"/>
      <c s="511"/>
      <c s="511"/>
      <c s="511"/>
      <c s="511"/>
      <c s="511"/>
      <c s="511"/>
      <c s="511"/>
      <c r="V4" s="507">
        <v>15</v>
      </c>
    </row>
    <row r="5" spans="3:22" ht="66" customHeight="1">
      <c r="C5" s="178"/>
      <c s="2239" t="s">
        <v>1156</v>
      </c>
      <c s="2239"/>
      <c s="2239"/>
      <c s="2239"/>
      <c s="2239"/>
      <c s="2239"/>
      <c s="2239"/>
      <c r="V5" s="507">
        <v>63</v>
      </c>
    </row>
    <row r="6" spans="3:22" ht="15.75" customHeight="1">
      <c r="C6" s="178"/>
      <c s="2178" t="str">
        <f>IF(org=0,"Не определено",org)</f>
        <v>ГУП КК "Кубаньводкомплекс"</v>
      </c>
      <c s="2178"/>
      <c s="2178"/>
      <c s="2178"/>
      <c s="2178"/>
      <c s="2178"/>
      <c s="2178"/>
      <c s="539"/>
      <c r="V6" s="507">
        <v>15</v>
      </c>
    </row>
    <row r="7" spans="3:22" ht="15.75" customHeight="1">
      <c r="C7" s="178"/>
      <c s="754"/>
      <c s="511"/>
      <c s="511"/>
      <c s="539">
        <v>22</v>
      </c>
      <c r="I7" s="539">
        <v>1</v>
      </c>
      <c s="754"/>
      <c r="V7" s="507">
        <v>15</v>
      </c>
    </row>
    <row r="8" spans="1:22" s="1637" customFormat="1" ht="1.05" customHeight="1">
      <c r="A8" s="761"/>
      <c r="C8" s="178"/>
      <c s="511"/>
      <c s="511"/>
      <c s="511"/>
      <c s="539"/>
      <c s="754"/>
      <c s="539" t="s">
        <v>118</v>
      </c>
      <c s="754"/>
      <c s="419"/>
      <c r="U8" s="677"/>
      <c s="760">
        <v>1</v>
      </c>
    </row>
    <row r="9" spans="3:22" ht="15.75" customHeight="1">
      <c r="C9" s="178"/>
      <c s="713"/>
      <c s="2369" t="s">
        <v>105</v>
      </c>
      <c s="2370"/>
      <c s="2397" t="str">
        <f>IF(G8="","",INDEX(DIFFERENTIATION_UNMERGE_VD,MATCH(G8,DIFFERENTIATION_ID_DIFF,0)))</f>
        <v/>
      </c>
      <c s="2398"/>
      <c s="2397" t="str">
        <f>IF(I8="","",INDEX(DIFFERENTIATION_UNMERGE_VD,MATCH(I8,DIFFERENTIATION_ID_DIFF,0)))</f>
        <v>Водоотведение; Транспортировка; Подключение (технологическое присоединение) к централизованной системе водоотведения</v>
      </c>
      <c s="2398"/>
      <c s="2177" t="s">
        <v>301</v>
      </c>
      <c r="V9" s="507">
        <v>15</v>
      </c>
    </row>
    <row r="10" spans="1:22" s="1637" customFormat="1" ht="15.75" customHeight="1">
      <c r="A10" s="761"/>
      <c r="C10" s="178"/>
      <c s="713"/>
      <c s="2369" t="s">
        <v>564</v>
      </c>
      <c s="2370"/>
      <c s="2397" t="str">
        <f>IF(G8="","",INDEX(DIFFERENTIATION_UNMERGE_AREA,MATCH(G8,DIFFERENTIATION_ID_DIFF,0)))</f>
        <v/>
      </c>
      <c s="2398"/>
      <c s="2397" t="str">
        <f>IF(I8="","",INDEX(DIFFERENTIATION_UNMERGE_AREA,MATCH(I8,DIFFERENTIATION_ID_DIFF,0)))</f>
        <v>Территория 1</v>
      </c>
      <c s="2398"/>
      <c s="2201"/>
      <c r="U10" s="677"/>
      <c s="760">
        <v>15</v>
      </c>
    </row>
    <row r="11" spans="1:22" s="1637" customFormat="1" ht="15.75" customHeight="1">
      <c r="A11" s="761"/>
      <c r="C11" s="178"/>
      <c s="713"/>
      <c s="2369" t="s">
        <v>565</v>
      </c>
      <c s="2370"/>
      <c s="2397" t="str">
        <f>IF(G8="","",INDEX(DIFFERENTIATION_UNMERGE_SYSTEM,MATCH(G8,DIFFERENTIATION_ID_DIFF,0)))</f>
        <v/>
      </c>
      <c s="2398"/>
      <c s="2397" t="str">
        <f>IF(I8="","",INDEX(DIFFERENTIATION_UNMERGE_SYSTEM,MATCH(I8,DIFFERENTIATION_ID_DIFF,0)))</f>
        <v>Ейский групповой водопровод (разводящие сети водоотведения)</v>
      </c>
      <c s="2398"/>
      <c s="2201"/>
      <c r="U11" s="677"/>
      <c s="760">
        <v>15</v>
      </c>
    </row>
    <row r="12" spans="1:22" s="1637" customFormat="1" ht="15.75" customHeight="1">
      <c r="A12" s="761"/>
      <c r="C12" s="178"/>
      <c s="2371" t="s">
        <v>300</v>
      </c>
      <c s="2372"/>
      <c s="2372"/>
      <c s="889"/>
      <c s="889"/>
      <c s="889"/>
      <c s="889"/>
      <c s="2201"/>
      <c r="U12" s="677"/>
      <c s="760">
        <v>15</v>
      </c>
    </row>
    <row r="13" spans="3:22" ht="35.7" customHeight="1">
      <c r="C13" s="178"/>
      <c s="807" t="s">
        <v>87</v>
      </c>
      <c s="809" t="s">
        <v>302</v>
      </c>
      <c s="809" t="s">
        <v>566</v>
      </c>
      <c s="810" t="s">
        <v>303</v>
      </c>
      <c s="809" t="s">
        <v>390</v>
      </c>
      <c s="810" t="s">
        <v>303</v>
      </c>
      <c s="809" t="s">
        <v>390</v>
      </c>
      <c s="2234"/>
      <c r="V13" s="507">
        <v>34</v>
      </c>
    </row>
    <row r="14" spans="3:22" ht="15" customHeight="1" hidden="1">
      <c r="C14" s="178"/>
      <c s="595" t="s">
        <v>109</v>
      </c>
      <c s="595" t="s">
        <v>110</v>
      </c>
      <c s="595" t="s">
        <v>89</v>
      </c>
      <c s="661" t="str">
        <f>G1&amp;".1"</f>
        <v>4.1</v>
      </c>
      <c s="661"/>
      <c s="661" t="str">
        <f>I1&amp;".1"</f>
        <v>4.1</v>
      </c>
      <c s="661"/>
      <c s="291"/>
      <c r="V14" s="507">
        <v>0</v>
      </c>
    </row>
    <row r="15" spans="1:22" ht="22.5" customHeight="1" hidden="1">
      <c r="A15" s="507"/>
      <c r="C15" s="528"/>
      <c s="523">
        <v>1</v>
      </c>
      <c s="679" t="s">
        <v>809</v>
      </c>
      <c s="523" t="s">
        <v>810</v>
      </c>
      <c s="680"/>
      <c s="680"/>
      <c s="680"/>
      <c s="680"/>
      <c s="291" t="s">
        <v>811</v>
      </c>
      <c r="V15" s="507">
        <v>0</v>
      </c>
    </row>
    <row r="16" spans="1:22" ht="22.5" customHeight="1" hidden="1">
      <c r="A16" s="507"/>
      <c r="C16" s="528"/>
      <c s="523">
        <v>2</v>
      </c>
      <c s="281" t="s">
        <v>812</v>
      </c>
      <c s="523" t="s">
        <v>813</v>
      </c>
      <c s="680"/>
      <c s="680"/>
      <c s="680"/>
      <c s="680"/>
      <c s="291" t="s">
        <v>814</v>
      </c>
      <c r="V16" s="507">
        <v>0</v>
      </c>
    </row>
    <row r="17" spans="1:22" ht="123.75" customHeight="1" hidden="1">
      <c r="A17" s="507"/>
      <c r="C17" s="528"/>
      <c s="523">
        <v>3</v>
      </c>
      <c s="281" t="s">
        <v>1157</v>
      </c>
      <c s="523" t="s">
        <v>306</v>
      </c>
      <c s="680"/>
      <c s="680"/>
      <c s="680"/>
      <c s="680"/>
      <c s="291" t="s">
        <v>1158</v>
      </c>
      <c r="V17" s="507">
        <v>0</v>
      </c>
    </row>
    <row r="18" spans="1:22" ht="48.3" customHeight="1">
      <c r="A18" s="507"/>
      <c r="C18" s="528"/>
      <c s="523">
        <v>3</v>
      </c>
      <c s="281" t="s">
        <v>815</v>
      </c>
      <c s="523" t="s">
        <v>306</v>
      </c>
      <c s="811" t="s">
        <v>306</v>
      </c>
      <c s="812" t="s">
        <v>306</v>
      </c>
      <c s="523" t="s">
        <v>306</v>
      </c>
      <c s="580" t="s">
        <v>306</v>
      </c>
      <c s="291" t="s">
        <v>1159</v>
      </c>
      <c r="V18" s="507">
        <v>46</v>
      </c>
    </row>
    <row r="19" spans="1:22" ht="35.7" customHeight="1">
      <c r="A19" s="507"/>
      <c r="C19" s="528"/>
      <c s="541" t="s">
        <v>324</v>
      </c>
      <c s="561" t="s">
        <v>817</v>
      </c>
      <c s="523" t="s">
        <v>818</v>
      </c>
      <c s="819"/>
      <c s="108"/>
      <c s="819"/>
      <c s="820"/>
      <c s="681"/>
      <c r="V19" s="507">
        <v>34</v>
      </c>
    </row>
    <row r="20" spans="1:22" ht="35.7" customHeight="1">
      <c r="A20" s="507"/>
      <c r="C20" s="528"/>
      <c s="1892" t="s">
        <v>332</v>
      </c>
      <c s="561" t="s">
        <v>819</v>
      </c>
      <c s="523" t="s">
        <v>820</v>
      </c>
      <c s="819"/>
      <c s="108"/>
      <c s="819"/>
      <c s="108"/>
      <c s="681"/>
      <c r="V20" s="507">
        <v>34</v>
      </c>
    </row>
    <row r="21" spans="1:22" ht="48.3" customHeight="1">
      <c r="A21" s="507"/>
      <c r="C21" s="528"/>
      <c s="1892" t="s">
        <v>334</v>
      </c>
      <c s="561" t="s">
        <v>821</v>
      </c>
      <c s="523" t="s">
        <v>571</v>
      </c>
      <c s="682"/>
      <c s="108"/>
      <c s="682"/>
      <c s="108"/>
      <c s="681"/>
      <c r="V21" s="507">
        <v>46</v>
      </c>
    </row>
    <row r="22" spans="1:22" ht="67.5" customHeight="1" hidden="1">
      <c r="A22" s="507"/>
      <c r="C22" s="528"/>
      <c s="523">
        <v>5</v>
      </c>
      <c s="281" t="s">
        <v>1160</v>
      </c>
      <c s="523" t="s">
        <v>558</v>
      </c>
      <c s="683"/>
      <c s="684"/>
      <c s="683"/>
      <c s="684"/>
      <c s="291" t="s">
        <v>1161</v>
      </c>
      <c r="V22" s="507">
        <v>0</v>
      </c>
    </row>
    <row r="23" spans="3:22" ht="33.75" customHeight="1" hidden="1">
      <c r="C23" s="453"/>
      <c s="523">
        <v>6</v>
      </c>
      <c s="281" t="s">
        <v>1162</v>
      </c>
      <c s="523" t="s">
        <v>1163</v>
      </c>
      <c s="683"/>
      <c s="683"/>
      <c s="683"/>
      <c s="683"/>
      <c s="291" t="s">
        <v>1164</v>
      </c>
      <c r="V23" s="507">
        <v>0</v>
      </c>
    </row>
    <row r="24" spans="22:22" ht="15.75" customHeight="1">
      <c r="V24" s="507">
        <v>15</v>
      </c>
    </row>
    <row r="25" spans="22:22" ht="15.75" customHeight="1">
      <c r="V25" s="507">
        <v>15</v>
      </c>
    </row>
    <row r="26" spans="22:22" ht="15.75" customHeight="1">
      <c r="V26" s="507">
        <v>15</v>
      </c>
    </row>
    <row r="27" spans="22:22" ht="15.75" customHeight="1">
      <c r="V27" s="507">
        <v>15</v>
      </c>
    </row>
    <row r="28" spans="22:22" ht="15.75" customHeight="1">
      <c r="V28" s="507">
        <v>15</v>
      </c>
    </row>
    <row r="29" spans="10:22" ht="15.75" customHeight="1">
      <c r="J29" s="821"/>
      <c r="V29" s="507">
        <v>15</v>
      </c>
    </row>
    <row r="30" spans="1:22" ht="22.5" customHeight="1" hidden="1">
      <c r="A30" s="451" t="s">
        <v>81</v>
      </c>
      <c s="507">
        <v>0</v>
      </c>
      <c s="685">
        <v>4</v>
      </c>
      <c s="507">
        <v>6</v>
      </c>
      <c s="507">
        <v>47</v>
      </c>
      <c s="507">
        <v>9</v>
      </c>
      <c s="760">
        <v>0</v>
      </c>
      <c s="760">
        <v>0</v>
      </c>
      <c s="507">
        <v>25</v>
      </c>
      <c s="507">
        <v>33</v>
      </c>
      <c s="419">
        <v>50</v>
      </c>
      <c s="507">
        <v>10</v>
      </c>
      <c s="507">
        <v>10</v>
      </c>
      <c s="507">
        <v>10</v>
      </c>
      <c s="507">
        <v>10</v>
      </c>
      <c s="507">
        <v>10</v>
      </c>
      <c s="507">
        <v>10</v>
      </c>
      <c s="507">
        <v>10</v>
      </c>
      <c s="507">
        <v>10</v>
      </c>
      <c s="507">
        <v>10</v>
      </c>
      <c s="677">
        <v>10</v>
      </c>
      <c s="507">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15E2039-E6CD-D27B-34BE-0.7D8AE91}"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4" customWidth="1"/>
    <col min="2" max="2" width="11" style="1852" customWidth="1"/>
    <col min="3" max="3" width="9.14285714285714" style="1852"/>
    <col min="4" max="4" width="26.5714285714286" style="1852" customWidth="1"/>
    <col min="5" max="5" width="36.8571428571429" style="1825" customWidth="1"/>
    <col min="6" max="6" width="23.5714285714286" style="1825" customWidth="1"/>
    <col min="7" max="7" width="31.4285714285714" style="1825" customWidth="1"/>
    <col min="8" max="8" width="40.8571428571429" style="1825" customWidth="1"/>
    <col min="9" max="9" width="14.5714285714286" style="1825" customWidth="1"/>
    <col min="10" max="10" width="26.8571428571429" style="1825" customWidth="1"/>
    <col min="11" max="11" width="50" style="1825" customWidth="1"/>
    <col min="12" max="12" width="52.4285714285714" style="1825" customWidth="1"/>
    <col min="13" max="13" width="10.7142857142857" style="1825" customWidth="1"/>
    <col min="14" max="14" width="55.1428571428571" style="1825" customWidth="1"/>
    <col min="15" max="15" width="31.8571428571429" style="1825" customWidth="1"/>
    <col min="16" max="16" width="23.8571428571429" style="1825" customWidth="1"/>
    <col min="17" max="17" width="46.5714285714286" style="1825" customWidth="1"/>
    <col min="18" max="18" width="24" style="1825" customWidth="1"/>
    <col min="19" max="19" width="20.5714285714286" style="1825" customWidth="1"/>
    <col min="20" max="20" width="22" style="1825" customWidth="1"/>
    <col min="21" max="22" width="26.4285714285714" style="1825" customWidth="1"/>
    <col min="23" max="23" width="8.28571428571429" style="1825" hidden="1" customWidth="1"/>
    <col min="24" max="24" width="59.7142857142857" style="1825" customWidth="1"/>
    <col min="25" max="25" width="49.1428571428571" style="1825" customWidth="1"/>
    <col min="26" max="26" width="11.1428571428571" style="1825" customWidth="1"/>
    <col min="27" max="30" width="29" style="1825" customWidth="1"/>
    <col min="31" max="31" width="9.14285714285714" style="1825"/>
    <col min="32" max="32" width="34.7142857142857" style="1825" customWidth="1"/>
    <col min="33" max="33" width="9.14285714285714" style="1825"/>
    <col min="34" max="35" width="34.4285714285714" style="1825" customWidth="1"/>
    <col min="36" max="36" width="9.14285714285714" style="1825"/>
    <col min="37" max="37" width="24.5714285714286" style="1825" customWidth="1"/>
    <col min="38" max="38" width="9.14285714285714" style="1825"/>
    <col min="39" max="39" width="26.1428571428571" style="1825" customWidth="1"/>
    <col min="40" max="40" width="1.71428571428571" style="1825" customWidth="1"/>
    <col min="41" max="41" width="9.14285714285714" style="1825"/>
    <col min="42" max="43" width="47.8571428571429" style="1825" customWidth="1"/>
    <col min="44" max="44" width="1.71428571428571" style="1825" customWidth="1"/>
    <col min="45" max="45" width="21.4285714285714" style="1825" customWidth="1"/>
    <col min="46" max="46" width="1.71428571428571" style="1825" customWidth="1"/>
    <col min="47" max="47" width="31.2857142857143" style="1825" customWidth="1"/>
    <col min="48" max="48" width="1.71428571428571" style="1825" customWidth="1"/>
    <col min="49" max="50" width="9.14285714285714" style="1825"/>
    <col min="51" max="51" width="3.71428571428571" style="1825" customWidth="1"/>
    <col min="52" max="52" width="60.8571428571429" style="1825" customWidth="1"/>
    <col min="53" max="53" width="49.2857142857143" style="1825" customWidth="1"/>
    <col min="54" max="54" width="35.1428571428571" style="1825" customWidth="1"/>
    <col min="55" max="55" width="9.14285714285714" style="1825"/>
    <col min="56" max="56" width="1.71428571428571" style="1825" customWidth="1"/>
    <col min="57" max="57" width="12.5714285714286" style="1068" customWidth="1"/>
    <col min="58" max="58" width="14.2857142857143" style="1068" customWidth="1"/>
    <col min="59" max="59" width="30.7142857142857" style="1825" customWidth="1"/>
    <col min="60" max="60" width="40.7142857142857" style="1842" customWidth="1"/>
    <col min="61" max="61" width="15" style="1842" customWidth="1"/>
    <col min="62" max="62" width="40.7142857142857" style="1842" customWidth="1"/>
    <col min="63" max="63" width="2.71428571428571" style="1842" customWidth="1"/>
    <col min="64" max="64" width="44.7142857142857" style="1842" customWidth="1"/>
    <col min="65" max="65" width="2.71428571428571" style="1842" customWidth="1"/>
    <col min="66" max="66" width="40.7142857142857" style="1842" customWidth="1"/>
    <col min="67" max="68" width="9.14285714285714" style="1825"/>
    <col min="69" max="69" width="18.1428571428571" style="1825" customWidth="1"/>
    <col min="70" max="70" width="57.8571428571429" style="1825" customWidth="1"/>
    <col min="71" max="71" width="1.71428571428571" style="1825" customWidth="1"/>
    <col min="72" max="72" width="22.5714285714286" style="1825" customWidth="1"/>
    <col min="73" max="73" width="57.8571428571429" style="1825" customWidth="1"/>
    <col min="74" max="74" width="1.71428571428571" style="1825" customWidth="1"/>
    <col min="75" max="75" width="22.5714285714286" style="1825" customWidth="1"/>
    <col min="76" max="76" width="57.8571428571429" style="1825" customWidth="1"/>
    <col min="77" max="77" width="1.71428571428571" style="1825" customWidth="1"/>
    <col min="78" max="78" width="22.5714285714286" style="1825" customWidth="1"/>
    <col min="79" max="79" width="57.8571428571429" style="1825" customWidth="1"/>
    <col min="80" max="81" width="9.14285714285714" style="1825"/>
    <col min="82" max="82" width="49.5714285714286" style="1825" customWidth="1"/>
  </cols>
  <sheetData>
    <row r="1" spans="1:71" s="1429" customFormat="1" ht="11.25" customHeight="1">
      <c r="A1" s="1069" t="s">
        <v>1165</v>
      </c>
      <c s="1069" t="s">
        <v>1166</v>
      </c>
      <c s="1069" t="s">
        <v>1167</v>
      </c>
      <c s="1069" t="s">
        <v>1168</v>
      </c>
      <c s="1069" t="s">
        <v>1169</v>
      </c>
      <c s="1069" t="s">
        <v>1170</v>
      </c>
      <c s="1069" t="s">
        <v>1171</v>
      </c>
      <c s="1069" t="s">
        <v>1172</v>
      </c>
      <c s="1069" t="s">
        <v>1173</v>
      </c>
      <c s="1069" t="s">
        <v>1174</v>
      </c>
      <c s="1069" t="s">
        <v>1175</v>
      </c>
      <c s="1069" t="s">
        <v>1176</v>
      </c>
      <c s="1069"/>
      <c s="1069" t="s">
        <v>1177</v>
      </c>
      <c s="1069" t="s">
        <v>1178</v>
      </c>
      <c s="1069" t="s">
        <v>1179</v>
      </c>
      <c s="1069" t="s">
        <v>1180</v>
      </c>
      <c s="1069" t="s">
        <v>1181</v>
      </c>
      <c s="1069" t="s">
        <v>1182</v>
      </c>
      <c s="1069" t="s">
        <v>1183</v>
      </c>
      <c s="1069" t="s">
        <v>1184</v>
      </c>
      <c s="1069"/>
      <c s="799" t="s">
        <v>1185</v>
      </c>
      <c s="1069" t="s">
        <v>1186</v>
      </c>
      <c s="1069" t="s">
        <v>1187</v>
      </c>
      <c s="1069"/>
      <c s="1069" t="s">
        <v>1188</v>
      </c>
      <c s="1069"/>
      <c s="1069" t="s">
        <v>1189</v>
      </c>
      <c s="1069"/>
      <c r="AF1" s="1069" t="s">
        <v>1190</v>
      </c>
      <c r="AH1" s="1069" t="s">
        <v>1191</v>
      </c>
      <c s="1069" t="s">
        <v>1192</v>
      </c>
      <c r="AK1" s="1069" t="s">
        <v>1193</v>
      </c>
      <c r="AM1" s="1069" t="s">
        <v>1194</v>
      </c>
      <c r="AP1" s="1069" t="s">
        <v>1195</v>
      </c>
      <c s="1069" t="s">
        <v>1196</v>
      </c>
      <c r="AS1" s="1069" t="s">
        <v>1197</v>
      </c>
      <c r="AU1" s="1069" t="s">
        <v>1198</v>
      </c>
      <c r="AW1" s="1069" t="s">
        <v>1199</v>
      </c>
      <c s="1069" t="s">
        <v>1200</v>
      </c>
      <c r="AZ1" s="1154" t="s">
        <v>1201</v>
      </c>
      <c r="BB1" s="1069" t="s">
        <v>1202</v>
      </c>
      <c s="1069"/>
      <c r="BE1" s="1069" t="s">
        <v>1203</v>
      </c>
      <c s="1069" t="s">
        <v>1204</v>
      </c>
      <c r="BH1" s="1071" t="s">
        <v>808</v>
      </c>
      <c s="1072"/>
      <c s="1073" t="s">
        <v>1205</v>
      </c>
      <c s="1072"/>
      <c s="1074" t="s">
        <v>907</v>
      </c>
      <c s="1072"/>
      <c s="1075" t="s">
        <v>1206</v>
      </c>
      <c r="BS1" s="1429"/>
    </row>
    <row r="2" spans="1:58" ht="11.25" customHeight="1">
      <c r="A2" s="1076" t="s">
        <v>1207</v>
      </c>
      <c s="1077">
        <v>2000</v>
      </c>
      <c s="1077">
        <v>2022</v>
      </c>
      <c s="1077" t="s">
        <v>65</v>
      </c>
      <c s="1078" t="s">
        <v>1208</v>
      </c>
      <c s="1078" t="s">
        <v>1209</v>
      </c>
      <c s="1078" t="s">
        <v>1210</v>
      </c>
      <c s="1079" t="s">
        <v>54</v>
      </c>
      <c s="1078" t="s">
        <v>109</v>
      </c>
      <c s="1078" t="s">
        <v>1211</v>
      </c>
      <c s="1080" t="s">
        <v>1212</v>
      </c>
      <c s="1081"/>
      <c s="1080">
        <v>1</v>
      </c>
      <c s="1164" t="s">
        <v>1213</v>
      </c>
      <c s="1079" t="s">
        <v>1214</v>
      </c>
      <c s="1082" t="s">
        <v>38</v>
      </c>
      <c s="1083" t="s">
        <v>1215</v>
      </c>
      <c s="145" t="s">
        <v>1216</v>
      </c>
      <c s="145" t="s">
        <v>1217</v>
      </c>
      <c s="1084" t="s">
        <v>1218</v>
      </c>
      <c s="1081" t="s">
        <v>1219</v>
      </c>
      <c s="1085">
        <v>1</v>
      </c>
      <c s="1086"/>
      <c s="1086" t="s">
        <v>1220</v>
      </c>
      <c s="1077" t="s">
        <v>1221</v>
      </c>
      <c s="1087"/>
      <c s="1077" t="s">
        <v>1222</v>
      </c>
      <c s="1088" t="s">
        <v>1222</v>
      </c>
      <c s="1077" t="s">
        <v>1223</v>
      </c>
      <c s="1088" t="s">
        <v>1223</v>
      </c>
      <c r="AF2" s="1079" t="s">
        <v>1219</v>
      </c>
      <c r="AH2" s="1078" t="s">
        <v>1224</v>
      </c>
      <c s="1078" t="s">
        <v>1224</v>
      </c>
      <c r="AK2" s="1078" t="s">
        <v>1225</v>
      </c>
      <c r="AM2" s="1078" t="s">
        <v>1226</v>
      </c>
      <c r="AP2" s="1089" t="s">
        <v>1220</v>
      </c>
      <c s="1090" t="s">
        <v>1220</v>
      </c>
      <c r="AS2" s="1077" t="s">
        <v>1227</v>
      </c>
      <c r="AU2" s="1122" t="s">
        <v>1228</v>
      </c>
      <c r="AW2" s="1122" t="s">
        <v>1229</v>
      </c>
      <c s="1122" t="s">
        <v>1229</v>
      </c>
      <c r="AZ2" s="1122" t="s">
        <v>1230</v>
      </c>
      <c r="BB2" s="1122" t="s">
        <v>1231</v>
      </c>
      <c s="1122" t="s">
        <v>1232</v>
      </c>
      <c r="BE2" s="1122">
        <v>2000</v>
      </c>
      <c s="1122" t="s">
        <v>1233</v>
      </c>
    </row>
    <row r="3" spans="1:79" ht="11.25" customHeight="1">
      <c r="A3" s="1076" t="s">
        <v>1234</v>
      </c>
      <c s="1077">
        <v>2001</v>
      </c>
      <c s="1077">
        <v>2023</v>
      </c>
      <c s="1077" t="s">
        <v>19</v>
      </c>
      <c s="1078" t="s">
        <v>1235</v>
      </c>
      <c s="1078" t="s">
        <v>35</v>
      </c>
      <c s="1078" t="s">
        <v>1236</v>
      </c>
      <c s="1079" t="s">
        <v>1237</v>
      </c>
      <c s="1078" t="s">
        <v>110</v>
      </c>
      <c s="1078" t="s">
        <v>556</v>
      </c>
      <c s="1080" t="s">
        <v>1238</v>
      </c>
      <c s="1081">
        <f>IFERROR(MATCH(K3,OFFER_METHOD,0),0)</f>
        <v>0</v>
      </c>
      <c s="1080">
        <v>2</v>
      </c>
      <c s="1164" t="s">
        <v>1239</v>
      </c>
      <c s="1079" t="s">
        <v>1240</v>
      </c>
      <c s="1082" t="s">
        <v>1241</v>
      </c>
      <c s="1083" t="s">
        <v>1242</v>
      </c>
      <c s="145" t="s">
        <v>1243</v>
      </c>
      <c s="145" t="s">
        <v>1244</v>
      </c>
      <c s="1084" t="s">
        <v>1245</v>
      </c>
      <c s="1081" t="s">
        <v>1246</v>
      </c>
      <c s="1085">
        <v>2</v>
      </c>
      <c s="1086"/>
      <c s="1086" t="s">
        <v>1247</v>
      </c>
      <c s="1077" t="s">
        <v>1221</v>
      </c>
      <c s="1087"/>
      <c s="1077" t="s">
        <v>1248</v>
      </c>
      <c s="1088" t="s">
        <v>1248</v>
      </c>
      <c s="1077" t="s">
        <v>1249</v>
      </c>
      <c s="1088" t="s">
        <v>1249</v>
      </c>
      <c r="AF3" s="1079" t="s">
        <v>1246</v>
      </c>
      <c r="AH3" s="1078" t="s">
        <v>1250</v>
      </c>
      <c s="1078" t="s">
        <v>1251</v>
      </c>
      <c r="AK3" s="1078" t="s">
        <v>1252</v>
      </c>
      <c r="AM3" s="1078" t="s">
        <v>1253</v>
      </c>
      <c r="AP3" s="1089" t="s">
        <v>1254</v>
      </c>
      <c s="1090" t="s">
        <v>1254</v>
      </c>
      <c r="AS3" s="1077" t="s">
        <v>1255</v>
      </c>
      <c r="AU3" s="1122" t="s">
        <v>1256</v>
      </c>
      <c r="AW3" s="1122" t="s">
        <v>1257</v>
      </c>
      <c s="1122" t="s">
        <v>1257</v>
      </c>
      <c r="AZ3" s="1122" t="s">
        <v>1258</v>
      </c>
      <c r="BB3" s="1122" t="s">
        <v>1259</v>
      </c>
      <c s="1122" t="s">
        <v>1232</v>
      </c>
      <c r="BE3" s="1122">
        <v>2001</v>
      </c>
      <c s="1122" t="s">
        <v>1260</v>
      </c>
      <c r="BH3" s="1069" t="s">
        <v>1261</v>
      </c>
      <c r="BJ3" s="1069" t="s">
        <v>1262</v>
      </c>
      <c r="BL3" s="1069" t="s">
        <v>1263</v>
      </c>
      <c r="BN3" s="1069" t="s">
        <v>1264</v>
      </c>
      <c r="BR3" s="1069" t="s">
        <v>1265</v>
      </c>
      <c s="1430"/>
      <c s="1072"/>
      <c s="1069" t="s">
        <v>1266</v>
      </c>
      <c s="1072"/>
      <c s="1692"/>
      <c s="1694" t="s">
        <v>1267</v>
      </c>
      <c r="CA3" s="1069" t="s">
        <v>1268</v>
      </c>
    </row>
    <row r="4" spans="1:79" ht="11.25" customHeight="1">
      <c r="A4" s="1076" t="s">
        <v>1269</v>
      </c>
      <c s="1077">
        <v>2002</v>
      </c>
      <c s="1077">
        <v>2024</v>
      </c>
      <c r="E4" s="1078" t="s">
        <v>1270</v>
      </c>
      <c s="1078" t="s">
        <v>1271</v>
      </c>
      <c r="H4" s="1079" t="s">
        <v>1272</v>
      </c>
      <c s="1078" t="s">
        <v>89</v>
      </c>
      <c s="1078" t="s">
        <v>1273</v>
      </c>
      <c s="1080" t="s">
        <v>1274</v>
      </c>
      <c s="1081">
        <f>IFERROR(MATCH(K4,OFFER_METHOD,0),0)</f>
        <v>0</v>
      </c>
      <c s="1080">
        <v>3</v>
      </c>
      <c s="1164" t="s">
        <v>1275</v>
      </c>
      <c s="1078" t="s">
        <v>1276</v>
      </c>
      <c r="Q4" s="1083" t="s">
        <v>1277</v>
      </c>
      <c s="145" t="s">
        <v>1278</v>
      </c>
      <c s="145" t="s">
        <v>1279</v>
      </c>
      <c s="1084" t="s">
        <v>1280</v>
      </c>
      <c s="1081" t="s">
        <v>1281</v>
      </c>
      <c s="1085">
        <v>3</v>
      </c>
      <c s="1086"/>
      <c s="1086" t="s">
        <v>1282</v>
      </c>
      <c s="1077" t="s">
        <v>1221</v>
      </c>
      <c s="1093"/>
      <c r="AC4" s="1077" t="s">
        <v>1283</v>
      </c>
      <c s="1088" t="s">
        <v>1283</v>
      </c>
      <c r="AF4" s="1079" t="s">
        <v>1281</v>
      </c>
      <c r="AH4" s="1079" t="s">
        <v>1284</v>
      </c>
      <c r="AK4" s="1078" t="s">
        <v>1285</v>
      </c>
      <c r="AM4" s="1078" t="s">
        <v>1286</v>
      </c>
      <c r="AP4" s="1089" t="s">
        <v>1247</v>
      </c>
      <c s="1090" t="s">
        <v>1247</v>
      </c>
      <c r="AS4" s="1077" t="s">
        <v>1287</v>
      </c>
      <c r="AU4" s="1122" t="s">
        <v>1288</v>
      </c>
      <c r="AW4" s="1122" t="s">
        <v>1289</v>
      </c>
      <c s="1122" t="s">
        <v>1289</v>
      </c>
      <c r="AZ4" s="1122" t="s">
        <v>1290</v>
      </c>
      <c r="BB4" s="1122" t="s">
        <v>1291</v>
      </c>
      <c s="1122" t="s">
        <v>1292</v>
      </c>
      <c r="BE4" s="1122">
        <v>2002</v>
      </c>
      <c s="1122" t="s">
        <v>1293</v>
      </c>
      <c r="BH4" s="1070" t="s">
        <v>1294</v>
      </c>
      <c r="BJ4" s="1070" t="s">
        <v>1294</v>
      </c>
      <c r="BL4" s="1070" t="s">
        <v>1294</v>
      </c>
      <c r="BN4" s="1070" t="s">
        <v>1294</v>
      </c>
      <c r="BQ4" s="1434" t="s">
        <v>1295</v>
      </c>
      <c s="1161" t="s">
        <v>1296</v>
      </c>
      <c s="276"/>
      <c s="1434" t="s">
        <v>1297</v>
      </c>
      <c s="1161" t="s">
        <v>1298</v>
      </c>
      <c s="1072"/>
      <c s="1699" t="s">
        <v>1299</v>
      </c>
      <c s="1693" t="s">
        <v>1300</v>
      </c>
      <c r="BZ4" s="1434" t="s">
        <v>1301</v>
      </c>
      <c s="1161" t="s">
        <v>1302</v>
      </c>
    </row>
    <row r="5" spans="1:79" ht="11.25" customHeight="1">
      <c r="A5" s="1076" t="s">
        <v>1303</v>
      </c>
      <c s="1077">
        <v>2003</v>
      </c>
      <c s="1077">
        <v>2025</v>
      </c>
      <c r="E5" s="1078" t="s">
        <v>1304</v>
      </c>
      <c s="1078" t="s">
        <v>1305</v>
      </c>
      <c r="H5" s="1079" t="s">
        <v>1306</v>
      </c>
      <c s="1078" t="s">
        <v>90</v>
      </c>
      <c r="K5" s="1080" t="s">
        <v>1307</v>
      </c>
      <c s="1081">
        <f>IFERROR(MATCH(K5,OFFER_METHOD,0),0)</f>
        <v>0</v>
      </c>
      <c s="1080">
        <v>4</v>
      </c>
      <c s="1094" t="s">
        <v>1308</v>
      </c>
      <c s="1078" t="s">
        <v>1309</v>
      </c>
      <c r="Q5" s="1083" t="s">
        <v>1310</v>
      </c>
      <c s="145" t="s">
        <v>1311</v>
      </c>
      <c r="T5" s="1079" t="s">
        <v>1312</v>
      </c>
      <c s="1081" t="s">
        <v>1313</v>
      </c>
      <c s="1085">
        <v>4</v>
      </c>
      <c s="1086"/>
      <c s="1086" t="s">
        <v>168</v>
      </c>
      <c s="1077" t="s">
        <v>1314</v>
      </c>
      <c s="1093">
        <v>1</v>
      </c>
      <c r="AF5" s="1079" t="s">
        <v>1315</v>
      </c>
      <c r="AH5" s="1078" t="s">
        <v>1316</v>
      </c>
      <c r="AK5" s="1078" t="s">
        <v>1317</v>
      </c>
      <c r="AM5" s="1078" t="s">
        <v>1318</v>
      </c>
      <c r="AP5" s="1089" t="s">
        <v>168</v>
      </c>
      <c s="1090" t="s">
        <v>168</v>
      </c>
      <c r="AU5" s="1122" t="s">
        <v>1319</v>
      </c>
      <c r="AW5" s="1122" t="s">
        <v>1320</v>
      </c>
      <c s="1122" t="s">
        <v>1320</v>
      </c>
      <c r="AZ5" s="1122" t="s">
        <v>1321</v>
      </c>
      <c r="BB5" s="1122" t="s">
        <v>1322</v>
      </c>
      <c s="1122" t="s">
        <v>1323</v>
      </c>
      <c r="BE5" s="1122">
        <v>2003</v>
      </c>
      <c s="1122" t="s">
        <v>1324</v>
      </c>
      <c r="BH5" s="1070" t="s">
        <v>1325</v>
      </c>
      <c r="BJ5" s="1070" t="s">
        <v>1325</v>
      </c>
      <c r="BL5" s="1070" t="s">
        <v>1325</v>
      </c>
      <c r="BN5" s="1070" t="s">
        <v>1326</v>
      </c>
      <c r="BQ5" s="1283">
        <v>4213775</v>
      </c>
      <c s="1070" t="s">
        <v>1220</v>
      </c>
      <c s="1431"/>
      <c s="1283">
        <v>64236871</v>
      </c>
      <c s="1070" t="s">
        <v>229</v>
      </c>
      <c s="1072"/>
      <c s="1697">
        <v>4213767</v>
      </c>
      <c s="1695" t="s">
        <v>1327</v>
      </c>
      <c r="BZ5" s="1283">
        <v>64237509</v>
      </c>
      <c s="1297" t="s">
        <v>1328</v>
      </c>
    </row>
    <row r="6" spans="1:79" ht="11.25" customHeight="1">
      <c r="A6" s="1076" t="s">
        <v>1329</v>
      </c>
      <c s="1077">
        <v>2004</v>
      </c>
      <c s="1077">
        <v>2026</v>
      </c>
      <c r="E6" s="1078" t="s">
        <v>1330</v>
      </c>
      <c s="1095"/>
      <c r="H6" s="1079" t="s">
        <v>1331</v>
      </c>
      <c s="1078" t="s">
        <v>111</v>
      </c>
      <c s="1069" t="s">
        <v>1332</v>
      </c>
      <c r="L6" s="1081">
        <f>SUM(kind_of_control_method_filter)</f>
        <v>0</v>
      </c>
      <c r="N6" s="1094" t="s">
        <v>1333</v>
      </c>
      <c s="1078" t="s">
        <v>1334</v>
      </c>
      <c r="R6" s="145" t="s">
        <v>1215</v>
      </c>
      <c r="T6" s="1079" t="s">
        <v>1335</v>
      </c>
      <c s="1081" t="s">
        <v>1315</v>
      </c>
      <c s="1085">
        <v>5</v>
      </c>
      <c s="1086"/>
      <c s="1077" t="s">
        <v>174</v>
      </c>
      <c s="1077" t="s">
        <v>1336</v>
      </c>
      <c s="1093"/>
      <c s="1096"/>
      <c r="AH6" s="1078" t="s">
        <v>1337</v>
      </c>
      <c r="AK6" s="1078" t="s">
        <v>1338</v>
      </c>
      <c r="AM6" s="1078" t="s">
        <v>1339</v>
      </c>
      <c r="AP6" s="1089" t="s">
        <v>174</v>
      </c>
      <c s="1090" t="s">
        <v>174</v>
      </c>
      <c r="AU6" s="1122" t="s">
        <v>1340</v>
      </c>
      <c r="AW6" s="1122" t="s">
        <v>1341</v>
      </c>
      <c s="1122" t="s">
        <v>1341</v>
      </c>
      <c r="BB6" s="1122" t="s">
        <v>1342</v>
      </c>
      <c s="1122" t="s">
        <v>1323</v>
      </c>
      <c r="BE6" s="1122">
        <v>2004</v>
      </c>
      <c s="1122" t="s">
        <v>1343</v>
      </c>
      <c r="BH6" s="1070" t="s">
        <v>1344</v>
      </c>
      <c r="BJ6" s="1070" t="s">
        <v>1345</v>
      </c>
      <c r="BL6" s="1070" t="s">
        <v>1345</v>
      </c>
      <c r="BN6" s="1070" t="s">
        <v>1346</v>
      </c>
      <c r="BQ6" s="1283">
        <v>4213784</v>
      </c>
      <c s="1297" t="s">
        <v>1254</v>
      </c>
      <c s="1432"/>
      <c s="1283">
        <v>64236872</v>
      </c>
      <c s="1070" t="s">
        <v>234</v>
      </c>
      <c s="1072"/>
      <c s="1697">
        <v>4213768</v>
      </c>
      <c s="1695" t="s">
        <v>254</v>
      </c>
      <c r="BZ6" s="1283">
        <v>64237510</v>
      </c>
      <c s="1070" t="s">
        <v>1347</v>
      </c>
    </row>
    <row r="7" spans="1:79" ht="11.25" customHeight="1">
      <c r="A7" s="1076" t="s">
        <v>1348</v>
      </c>
      <c s="1077">
        <v>2005</v>
      </c>
      <c r="E7" s="1078" t="s">
        <v>1349</v>
      </c>
      <c s="1095"/>
      <c r="H7" s="1079" t="s">
        <v>1350</v>
      </c>
      <c s="1078" t="s">
        <v>91</v>
      </c>
      <c s="1078" t="s">
        <v>1351</v>
      </c>
      <c r="N7" s="1098" t="s">
        <v>1352</v>
      </c>
      <c s="1078" t="s">
        <v>1353</v>
      </c>
      <c r="U7" s="1081" t="s">
        <v>19</v>
      </c>
      <c s="372" t="s">
        <v>91</v>
      </c>
      <c s="1086"/>
      <c s="1077" t="s">
        <v>180</v>
      </c>
      <c s="1077" t="s">
        <v>1314</v>
      </c>
      <c s="1093"/>
      <c s="1096"/>
      <c r="AH7" s="1078" t="s">
        <v>1354</v>
      </c>
      <c r="AK7" s="1078" t="s">
        <v>1355</v>
      </c>
      <c r="AM7" s="1078" t="s">
        <v>1356</v>
      </c>
      <c r="AP7" s="1089" t="s">
        <v>180</v>
      </c>
      <c s="1090" t="s">
        <v>180</v>
      </c>
      <c r="AU7" s="1122" t="s">
        <v>1357</v>
      </c>
      <c r="AW7" s="1122" t="s">
        <v>1358</v>
      </c>
      <c s="1122" t="s">
        <v>1358</v>
      </c>
      <c r="AZ7" s="1069" t="s">
        <v>1359</v>
      </c>
      <c r="BB7" s="1122" t="s">
        <v>1360</v>
      </c>
      <c s="1122" t="s">
        <v>1323</v>
      </c>
      <c r="BE7" s="1122">
        <v>2005</v>
      </c>
      <c s="1122" t="s">
        <v>1361</v>
      </c>
      <c r="BH7" s="1070" t="s">
        <v>1362</v>
      </c>
      <c r="BJ7" s="1070" t="s">
        <v>1344</v>
      </c>
      <c r="BL7" s="1070" t="s">
        <v>1344</v>
      </c>
      <c r="BN7" s="1070" t="s">
        <v>1363</v>
      </c>
      <c r="BQ7" s="1283">
        <v>4213781</v>
      </c>
      <c s="1070" t="s">
        <v>1247</v>
      </c>
      <c s="1431"/>
      <c s="1283">
        <v>64236873</v>
      </c>
      <c s="1070" t="s">
        <v>239</v>
      </c>
      <c s="1072"/>
      <c s="1697">
        <v>4213769</v>
      </c>
      <c s="1695" t="s">
        <v>1364</v>
      </c>
      <c r="BZ7" s="1283">
        <v>64237511</v>
      </c>
      <c s="1070" t="s">
        <v>269</v>
      </c>
    </row>
    <row r="8" spans="1:79" ht="11.25" customHeight="1">
      <c r="A8" s="1076" t="s">
        <v>1365</v>
      </c>
      <c s="1077">
        <v>2006</v>
      </c>
      <c r="E8" s="1078" t="s">
        <v>1366</v>
      </c>
      <c s="1095"/>
      <c r="H8" s="1079" t="s">
        <v>1367</v>
      </c>
      <c s="1078" t="s">
        <v>92</v>
      </c>
      <c s="1078" t="s">
        <v>1368</v>
      </c>
      <c r="N8" s="1165" t="s">
        <v>1369</v>
      </c>
      <c s="1078" t="s">
        <v>1370</v>
      </c>
      <c r="V8" s="372" t="s">
        <v>92</v>
      </c>
      <c s="1086"/>
      <c s="1077" t="s">
        <v>186</v>
      </c>
      <c s="1077" t="s">
        <v>1314</v>
      </c>
      <c s="1093"/>
      <c s="1096"/>
      <c r="AK8" s="1078" t="s">
        <v>1371</v>
      </c>
      <c r="AP8" s="1089" t="s">
        <v>186</v>
      </c>
      <c s="1090" t="s">
        <v>186</v>
      </c>
      <c r="AU8" s="1122" t="s">
        <v>1372</v>
      </c>
      <c r="AW8" s="1122" t="s">
        <v>1373</v>
      </c>
      <c s="1122" t="s">
        <v>1373</v>
      </c>
      <c r="AZ8" s="1122" t="s">
        <v>1374</v>
      </c>
      <c r="BB8" s="1122" t="s">
        <v>1375</v>
      </c>
      <c s="1122" t="s">
        <v>1323</v>
      </c>
      <c r="BE8" s="1122">
        <v>2006</v>
      </c>
      <c s="1122" t="s">
        <v>1376</v>
      </c>
      <c r="BH8" s="1070" t="s">
        <v>1377</v>
      </c>
      <c r="BJ8" s="1070" t="s">
        <v>1378</v>
      </c>
      <c r="BL8" s="1070" t="s">
        <v>1378</v>
      </c>
      <c r="BN8" s="1070" t="s">
        <v>1379</v>
      </c>
      <c r="BQ8" s="1283">
        <v>4213776</v>
      </c>
      <c s="1070" t="s">
        <v>168</v>
      </c>
      <c s="1431"/>
      <c s="1283">
        <v>64236874</v>
      </c>
      <c s="1297" t="s">
        <v>1380</v>
      </c>
      <c s="1072"/>
      <c s="1697">
        <v>4213770</v>
      </c>
      <c s="1698" t="s">
        <v>1381</v>
      </c>
      <c r="BZ8" s="1283">
        <v>64237512</v>
      </c>
      <c s="1070" t="s">
        <v>264</v>
      </c>
    </row>
    <row r="9" spans="1:76" ht="11.25" customHeight="1">
      <c r="A9" s="1076" t="s">
        <v>1382</v>
      </c>
      <c s="1077">
        <v>2007</v>
      </c>
      <c r="E9" s="1078" t="s">
        <v>1383</v>
      </c>
      <c s="1095"/>
      <c s="1069" t="s">
        <v>1384</v>
      </c>
      <c s="1069" t="s">
        <v>1385</v>
      </c>
      <c s="1078" t="s">
        <v>112</v>
      </c>
      <c r="O9" s="1078" t="s">
        <v>1386</v>
      </c>
      <c r="V9" s="372" t="s">
        <v>112</v>
      </c>
      <c s="1086"/>
      <c s="1077" t="s">
        <v>192</v>
      </c>
      <c s="1077" t="s">
        <v>1221</v>
      </c>
      <c s="1093">
        <v>1</v>
      </c>
      <c s="1096"/>
      <c r="AK9" s="1078" t="s">
        <v>1387</v>
      </c>
      <c r="AP9" s="1089" t="s">
        <v>1388</v>
      </c>
      <c s="1090" t="s">
        <v>1388</v>
      </c>
      <c r="AW9" s="1122" t="s">
        <v>1389</v>
      </c>
      <c s="1122" t="s">
        <v>1389</v>
      </c>
      <c r="AZ9" s="1122" t="s">
        <v>1390</v>
      </c>
      <c r="BB9" s="1122" t="s">
        <v>1391</v>
      </c>
      <c s="1122" t="s">
        <v>1323</v>
      </c>
      <c r="BE9" s="1122">
        <v>2007</v>
      </c>
      <c s="1122" t="s">
        <v>1392</v>
      </c>
      <c r="BH9" s="1070" t="s">
        <v>1393</v>
      </c>
      <c r="BJ9" s="1070" t="s">
        <v>1394</v>
      </c>
      <c r="BL9" s="1070" t="s">
        <v>1394</v>
      </c>
      <c r="BN9" s="1070" t="s">
        <v>1395</v>
      </c>
      <c r="BQ9" s="1283">
        <v>4213777</v>
      </c>
      <c s="1070" t="s">
        <v>174</v>
      </c>
      <c s="1431"/>
      <c s="1283">
        <v>64236875</v>
      </c>
      <c s="1070" t="s">
        <v>244</v>
      </c>
      <c s="1072"/>
      <c s="1692"/>
      <c s="1692"/>
    </row>
    <row r="10" spans="1:76" ht="11.25" customHeight="1">
      <c r="A10" s="1076" t="s">
        <v>1396</v>
      </c>
      <c s="1077">
        <v>2008</v>
      </c>
      <c r="E10" s="1078" t="s">
        <v>1397</v>
      </c>
      <c s="1095"/>
      <c s="1078" t="s">
        <v>1398</v>
      </c>
      <c s="1078" t="s">
        <v>1399</v>
      </c>
      <c s="1078" t="s">
        <v>150</v>
      </c>
      <c s="1069" t="s">
        <v>1400</v>
      </c>
      <c s="1069" t="s">
        <v>1401</v>
      </c>
      <c r="O10" s="1078" t="s">
        <v>1402</v>
      </c>
      <c r="V10" s="373" t="s">
        <v>150</v>
      </c>
      <c s="1099"/>
      <c s="1099" t="s">
        <v>1403</v>
      </c>
      <c s="1100" t="s">
        <v>1404</v>
      </c>
      <c s="1093"/>
      <c r="AP10" s="1089" t="s">
        <v>1403</v>
      </c>
      <c s="1090" t="s">
        <v>1403</v>
      </c>
      <c r="AW10" s="1122" t="s">
        <v>1405</v>
      </c>
      <c s="1122" t="s">
        <v>1405</v>
      </c>
      <c r="AZ10" s="1122" t="s">
        <v>1406</v>
      </c>
      <c r="BB10" s="1122" t="s">
        <v>1407</v>
      </c>
      <c s="1122" t="s">
        <v>1323</v>
      </c>
      <c r="BE10" s="1122">
        <v>2008</v>
      </c>
      <c s="1122" t="s">
        <v>1408</v>
      </c>
      <c r="BH10" s="1070" t="s">
        <v>1409</v>
      </c>
      <c r="BJ10" s="1070" t="s">
        <v>1410</v>
      </c>
      <c r="BL10" s="1070" t="s">
        <v>1410</v>
      </c>
      <c r="BN10" s="1070" t="s">
        <v>1411</v>
      </c>
      <c r="BQ10" s="1283">
        <v>4213778</v>
      </c>
      <c s="1070" t="s">
        <v>180</v>
      </c>
      <c s="1431"/>
      <c s="1283">
        <v>64236876</v>
      </c>
      <c s="1070" t="s">
        <v>224</v>
      </c>
      <c s="1072"/>
      <c s="1692"/>
      <c s="1692"/>
    </row>
    <row r="11" spans="1:76" ht="11.25" customHeight="1">
      <c r="A11" s="1076" t="s">
        <v>1412</v>
      </c>
      <c s="1077">
        <v>2009</v>
      </c>
      <c r="E11" s="1078" t="s">
        <v>1413</v>
      </c>
      <c s="1095"/>
      <c s="1078" t="s">
        <v>1414</v>
      </c>
      <c s="1078" t="s">
        <v>1415</v>
      </c>
      <c s="1078" t="s">
        <v>151</v>
      </c>
      <c s="1079" t="s">
        <v>1416</v>
      </c>
      <c s="1101" t="s">
        <v>1417</v>
      </c>
      <c r="O11" s="1079" t="s">
        <v>1418</v>
      </c>
      <c r="V11" s="372" t="s">
        <v>151</v>
      </c>
      <c s="277"/>
      <c s="1086" t="s">
        <v>1388</v>
      </c>
      <c s="1077" t="s">
        <v>1419</v>
      </c>
      <c s="1093"/>
      <c r="AP11" s="1089" t="s">
        <v>192</v>
      </c>
      <c s="1091" t="s">
        <v>192</v>
      </c>
      <c r="AW11" s="1122" t="s">
        <v>1420</v>
      </c>
      <c s="1122" t="s">
        <v>1420</v>
      </c>
      <c r="AZ11" s="1122" t="s">
        <v>1421</v>
      </c>
      <c r="BB11" s="1122" t="s">
        <v>1422</v>
      </c>
      <c s="1122" t="s">
        <v>1323</v>
      </c>
      <c r="BE11" s="1122">
        <v>2009</v>
      </c>
      <c s="1122" t="s">
        <v>1423</v>
      </c>
      <c r="BH11" s="1070" t="s">
        <v>1424</v>
      </c>
      <c r="BJ11" s="1070" t="s">
        <v>1393</v>
      </c>
      <c r="BL11" s="1070" t="s">
        <v>1393</v>
      </c>
      <c r="BN11" s="1070" t="s">
        <v>1425</v>
      </c>
      <c r="BQ11" s="1283">
        <v>4213780</v>
      </c>
      <c s="1070" t="s">
        <v>186</v>
      </c>
      <c s="1431"/>
      <c r="BW11" s="1692"/>
      <c s="1692"/>
    </row>
    <row r="12" spans="1:25 42:76" ht="11.25" customHeight="1">
      <c r="A12" s="1076" t="s">
        <v>1426</v>
      </c>
      <c s="1077">
        <v>2010</v>
      </c>
      <c r="E12" s="1078" t="s">
        <v>1427</v>
      </c>
      <c s="1095"/>
      <c s="1078" t="s">
        <v>1415</v>
      </c>
      <c r="I12" s="1078" t="s">
        <v>152</v>
      </c>
      <c s="1079" t="s">
        <v>1428</v>
      </c>
      <c s="1101" t="s">
        <v>1429</v>
      </c>
      <c r="O12" s="1079" t="s">
        <v>1215</v>
      </c>
      <c r="V12" s="372" t="s">
        <v>152</v>
      </c>
      <c s="1091"/>
      <c s="1086" t="s">
        <v>1430</v>
      </c>
      <c s="1077" t="s">
        <v>1221</v>
      </c>
      <c r="AP12" s="1089"/>
      <c r="AW12" s="1122" t="s">
        <v>151</v>
      </c>
      <c s="1122" t="s">
        <v>151</v>
      </c>
      <c r="AZ12" s="1122" t="s">
        <v>1431</v>
      </c>
      <c r="BB12" s="1122" t="s">
        <v>1432</v>
      </c>
      <c s="1122" t="s">
        <v>1323</v>
      </c>
      <c r="BE12" s="1122">
        <v>2010</v>
      </c>
      <c s="1122" t="s">
        <v>1433</v>
      </c>
      <c r="BH12" s="1070" t="s">
        <v>1434</v>
      </c>
      <c r="BJ12" s="1070" t="s">
        <v>1435</v>
      </c>
      <c r="BL12" s="1070" t="s">
        <v>1435</v>
      </c>
      <c r="BN12" s="1070" t="s">
        <v>1436</v>
      </c>
      <c r="BQ12" s="1283">
        <v>4213779</v>
      </c>
      <c s="1070" t="s">
        <v>1388</v>
      </c>
      <c s="1431"/>
      <c s="1072"/>
      <c s="1072"/>
      <c s="1072"/>
      <c s="1692"/>
      <c s="1692"/>
    </row>
    <row r="13" spans="1:25 49:76" ht="11.25" customHeight="1">
      <c r="A13" s="1076" t="s">
        <v>1437</v>
      </c>
      <c s="1077">
        <v>2011</v>
      </c>
      <c r="E13" s="1078" t="s">
        <v>1438</v>
      </c>
      <c s="1095"/>
      <c r="I13" s="1078" t="s">
        <v>153</v>
      </c>
      <c r="K13" s="1101" t="s">
        <v>1387</v>
      </c>
      <c r="V13" s="372" t="s">
        <v>153</v>
      </c>
      <c s="1091"/>
      <c s="1091"/>
      <c s="1091"/>
      <c r="AW13" s="1122" t="s">
        <v>152</v>
      </c>
      <c s="1122" t="s">
        <v>152</v>
      </c>
      <c r="BB13" s="1122" t="s">
        <v>1439</v>
      </c>
      <c s="1122" t="s">
        <v>1440</v>
      </c>
      <c r="BE13" s="1122">
        <v>2011</v>
      </c>
      <c s="1122" t="s">
        <v>1441</v>
      </c>
      <c r="BH13" s="1070" t="s">
        <v>1442</v>
      </c>
      <c r="BJ13" s="1070" t="s">
        <v>1424</v>
      </c>
      <c r="BL13" s="1070" t="s">
        <v>1424</v>
      </c>
      <c r="BN13" s="1070" t="s">
        <v>1443</v>
      </c>
      <c r="BQ13" s="1283">
        <v>4213783</v>
      </c>
      <c s="1070" t="s">
        <v>1403</v>
      </c>
      <c s="1431"/>
      <c s="1072"/>
      <c s="1072"/>
      <c s="1072"/>
      <c s="1696"/>
      <c s="1692"/>
    </row>
    <row r="14" spans="1:25 49:76" ht="11.25" customHeight="1">
      <c r="A14" s="1076" t="s">
        <v>1444</v>
      </c>
      <c s="1077">
        <v>2012</v>
      </c>
      <c r="I14" s="1078" t="s">
        <v>154</v>
      </c>
      <c s="1069" t="s">
        <v>1445</v>
      </c>
      <c r="N14" s="1069" t="s">
        <v>1446</v>
      </c>
      <c r="V14" s="1085">
        <v>13</v>
      </c>
      <c s="1086"/>
      <c s="1086" t="s">
        <v>1254</v>
      </c>
      <c s="1077" t="s">
        <v>1221</v>
      </c>
      <c r="AW14" s="1122" t="s">
        <v>153</v>
      </c>
      <c s="1122" t="s">
        <v>153</v>
      </c>
      <c r="AZ14" s="1069" t="s">
        <v>1447</v>
      </c>
      <c r="BB14" s="1122" t="s">
        <v>1448</v>
      </c>
      <c s="1122" t="s">
        <v>1440</v>
      </c>
      <c r="BE14" s="1122">
        <v>2012</v>
      </c>
      <c r="BH14" s="1070" t="s">
        <v>1363</v>
      </c>
      <c r="BJ14" s="1219" t="s">
        <v>1449</v>
      </c>
      <c r="BL14" s="1219" t="s">
        <v>1449</v>
      </c>
      <c r="BN14" s="1070" t="s">
        <v>1450</v>
      </c>
      <c r="BQ14" s="1283">
        <v>4213782</v>
      </c>
      <c s="1070" t="s">
        <v>192</v>
      </c>
      <c s="1431"/>
      <c s="1072"/>
      <c s="1072"/>
      <c s="1072"/>
      <c s="1696"/>
      <c s="1692"/>
    </row>
    <row r="15" spans="1:24 49:76" ht="19.5" customHeight="1">
      <c r="A15" s="1076" t="s">
        <v>1451</v>
      </c>
      <c s="1077">
        <v>2013</v>
      </c>
      <c r="E15" s="1700" t="s">
        <v>1452</v>
      </c>
      <c r="G15" s="1069" t="s">
        <v>1453</v>
      </c>
      <c s="1069" t="s">
        <v>1454</v>
      </c>
      <c s="1080" t="s">
        <v>155</v>
      </c>
      <c s="1091" t="s">
        <v>583</v>
      </c>
      <c r="N15" s="1160" t="s">
        <v>1455</v>
      </c>
      <c r="X15" s="1089"/>
      <c r="AW15" s="1122" t="s">
        <v>154</v>
      </c>
      <c s="1122" t="s">
        <v>154</v>
      </c>
      <c r="AZ15" s="1122" t="s">
        <v>1374</v>
      </c>
      <c r="BB15" s="1122" t="s">
        <v>1456</v>
      </c>
      <c s="1122" t="s">
        <v>1440</v>
      </c>
      <c r="BE15" s="1122">
        <v>2013</v>
      </c>
      <c r="BH15" s="1070" t="s">
        <v>1379</v>
      </c>
      <c r="BJ15" s="1219" t="s">
        <v>1457</v>
      </c>
      <c r="BL15" s="1219" t="s">
        <v>1457</v>
      </c>
      <c r="BN15" s="1070" t="s">
        <v>1458</v>
      </c>
      <c r="BR15" s="1072"/>
      <c s="1433"/>
      <c s="1072"/>
      <c s="1072"/>
      <c s="1072"/>
      <c s="1696"/>
      <c s="1692"/>
    </row>
    <row r="16" spans="1:14 49:76" ht="21" customHeight="1">
      <c r="A16" s="1872" t="s">
        <v>1459</v>
      </c>
      <c s="1077">
        <v>2014</v>
      </c>
      <c r="E16" s="1701" t="s">
        <v>1460</v>
      </c>
      <c r="G16" s="1078" t="s">
        <v>1461</v>
      </c>
      <c s="1078" t="s">
        <v>1462</v>
      </c>
      <c s="1080" t="s">
        <v>1463</v>
      </c>
      <c s="1091" t="s">
        <v>556</v>
      </c>
      <c r="N16" s="1160" t="s">
        <v>1464</v>
      </c>
      <c r="AW16" s="1122" t="s">
        <v>155</v>
      </c>
      <c s="1122" t="s">
        <v>155</v>
      </c>
      <c r="AZ16" s="1122" t="s">
        <v>1390</v>
      </c>
      <c r="BB16" s="1122" t="s">
        <v>1465</v>
      </c>
      <c s="1122" t="s">
        <v>1440</v>
      </c>
      <c r="BE16" s="1122">
        <v>2014</v>
      </c>
      <c r="BH16" s="1070" t="s">
        <v>1395</v>
      </c>
      <c r="BJ16" s="1219" t="s">
        <v>1466</v>
      </c>
      <c r="BL16" s="1219" t="s">
        <v>1466</v>
      </c>
      <c r="BN16" s="1070" t="s">
        <v>1467</v>
      </c>
      <c r="BR16" s="1072"/>
      <c s="1433"/>
      <c s="1072"/>
      <c s="1072"/>
      <c s="1072"/>
      <c s="1696"/>
      <c s="1692"/>
    </row>
    <row r="17" spans="1:24 49:82" ht="21" customHeight="1">
      <c r="A17" s="1076" t="s">
        <v>1468</v>
      </c>
      <c s="1077">
        <v>2015</v>
      </c>
      <c r="G17" s="1078" t="s">
        <v>1415</v>
      </c>
      <c s="1078" t="s">
        <v>1415</v>
      </c>
      <c s="1078" t="s">
        <v>1469</v>
      </c>
      <c r="N17" s="1160" t="s">
        <v>1470</v>
      </c>
      <c r="X17" s="1089"/>
      <c r="AW17" s="1122" t="s">
        <v>1463</v>
      </c>
      <c s="1122" t="s">
        <v>1463</v>
      </c>
      <c r="AZ17" s="1122" t="s">
        <v>1471</v>
      </c>
      <c r="BB17" s="1122" t="s">
        <v>1472</v>
      </c>
      <c s="1122" t="s">
        <v>1323</v>
      </c>
      <c r="BE17" s="1122">
        <v>2015</v>
      </c>
      <c r="BH17" s="1070" t="s">
        <v>1411</v>
      </c>
      <c r="BJ17" s="1219" t="s">
        <v>1473</v>
      </c>
      <c r="BL17" s="1219" t="s">
        <v>1473</v>
      </c>
      <c r="BN17" s="1070" t="s">
        <v>1474</v>
      </c>
      <c r="BR17" s="1069" t="s">
        <v>1265</v>
      </c>
      <c s="1430"/>
      <c r="BU17" s="1069" t="s">
        <v>1475</v>
      </c>
      <c s="1072"/>
      <c s="1692"/>
      <c s="1694" t="s">
        <v>1476</v>
      </c>
      <c r="CA17" s="1069" t="s">
        <v>1477</v>
      </c>
      <c r="CD17" s="1069" t="s">
        <v>1478</v>
      </c>
    </row>
    <row r="18" spans="1:24 49:82" ht="21" customHeight="1">
      <c r="A18" s="1076" t="s">
        <v>1479</v>
      </c>
      <c s="1077">
        <v>2016</v>
      </c>
      <c r="E18" s="2007" t="s">
        <v>1480</v>
      </c>
      <c r="I18" s="1078" t="s">
        <v>1481</v>
      </c>
      <c r="N18" s="1160" t="s">
        <v>1482</v>
      </c>
      <c r="X18" s="1089"/>
      <c r="AW18" s="1122" t="s">
        <v>1469</v>
      </c>
      <c s="1122" t="s">
        <v>1469</v>
      </c>
      <c r="BB18" s="1122" t="s">
        <v>1483</v>
      </c>
      <c s="1122" t="s">
        <v>1323</v>
      </c>
      <c r="BE18" s="1122">
        <v>2016</v>
      </c>
      <c r="BH18" s="1070" t="s">
        <v>1425</v>
      </c>
      <c r="BJ18" s="1219" t="s">
        <v>1484</v>
      </c>
      <c r="BL18" s="1219" t="s">
        <v>1484</v>
      </c>
      <c r="BN18" s="1070" t="s">
        <v>1485</v>
      </c>
      <c r="BQ18" s="1434" t="s">
        <v>1295</v>
      </c>
      <c s="1161" t="s">
        <v>1296</v>
      </c>
      <c s="276"/>
      <c s="1434" t="s">
        <v>1486</v>
      </c>
      <c s="1161" t="s">
        <v>1487</v>
      </c>
      <c s="1072"/>
      <c s="1699" t="s">
        <v>1488</v>
      </c>
      <c s="1693" t="s">
        <v>1489</v>
      </c>
      <c r="BZ18" s="1434" t="s">
        <v>1490</v>
      </c>
      <c s="1161" t="s">
        <v>1491</v>
      </c>
      <c r="CC18" s="1434" t="s">
        <v>1492</v>
      </c>
      <c s="1161" t="s">
        <v>1493</v>
      </c>
    </row>
    <row r="19" spans="1:24 49:82" ht="21" customHeight="1">
      <c r="A19" s="1872" t="s">
        <v>1494</v>
      </c>
      <c s="1077">
        <v>2017</v>
      </c>
      <c r="E19" s="1076" t="s">
        <v>167</v>
      </c>
      <c r="I19" s="1078" t="s">
        <v>1495</v>
      </c>
      <c r="N19" s="1160" t="s">
        <v>1496</v>
      </c>
      <c r="X19" s="1089"/>
      <c r="AW19" s="1122" t="s">
        <v>1481</v>
      </c>
      <c s="1122" t="s">
        <v>1481</v>
      </c>
      <c r="AZ19" s="1069" t="s">
        <v>1497</v>
      </c>
      <c r="BB19" s="1122" t="s">
        <v>1498</v>
      </c>
      <c s="1122" t="s">
        <v>1323</v>
      </c>
      <c r="BE19" s="1122">
        <v>2017</v>
      </c>
      <c r="BH19" s="1070" t="s">
        <v>1499</v>
      </c>
      <c r="BJ19" s="1219" t="s">
        <v>1500</v>
      </c>
      <c r="BL19" s="1219" t="s">
        <v>1500</v>
      </c>
      <c r="BQ19" s="1283">
        <v>4190064</v>
      </c>
      <c s="1070" t="s">
        <v>1501</v>
      </c>
      <c s="1431"/>
      <c s="1283">
        <v>4189671</v>
      </c>
      <c s="1070" t="s">
        <v>1502</v>
      </c>
      <c s="1072"/>
      <c s="1697">
        <v>4189706</v>
      </c>
      <c s="1695" t="s">
        <v>1503</v>
      </c>
      <c r="BZ19" s="1283">
        <v>4189714</v>
      </c>
      <c s="1070" t="s">
        <v>1504</v>
      </c>
      <c r="CC19" s="1283">
        <v>4189708</v>
      </c>
      <c s="1070" t="s">
        <v>1505</v>
      </c>
    </row>
    <row r="20" spans="1:14 49:82" ht="21" customHeight="1">
      <c r="A20" s="1076" t="s">
        <v>1506</v>
      </c>
      <c s="1077">
        <v>2018</v>
      </c>
      <c r="E20" s="1076" t="s">
        <v>1254</v>
      </c>
      <c r="I20" s="1078" t="s">
        <v>1507</v>
      </c>
      <c r="N20" s="1160" t="s">
        <v>1508</v>
      </c>
      <c r="AW20" s="1122" t="s">
        <v>1495</v>
      </c>
      <c s="1122" t="s">
        <v>1495</v>
      </c>
      <c r="AZ20" s="1122" t="s">
        <v>1509</v>
      </c>
      <c r="BB20" s="1122" t="s">
        <v>1510</v>
      </c>
      <c s="1122" t="s">
        <v>1440</v>
      </c>
      <c r="BE20" s="1122">
        <v>2018</v>
      </c>
      <c r="BH20" s="1070" t="s">
        <v>1436</v>
      </c>
      <c r="BJ20" s="1070" t="s">
        <v>1363</v>
      </c>
      <c r="BL20" s="1070" t="s">
        <v>1363</v>
      </c>
      <c r="BQ20" s="1283">
        <v>4190065</v>
      </c>
      <c s="1070" t="s">
        <v>1511</v>
      </c>
      <c s="1431"/>
      <c s="1283">
        <v>4189672</v>
      </c>
      <c s="1070" t="s">
        <v>1512</v>
      </c>
      <c s="1072"/>
      <c s="1697">
        <v>4189705</v>
      </c>
      <c s="1695" t="s">
        <v>1513</v>
      </c>
      <c r="BZ20" s="1283">
        <v>4189713</v>
      </c>
      <c s="1070" t="s">
        <v>1513</v>
      </c>
      <c r="CC20" s="1283">
        <v>4189709</v>
      </c>
      <c s="1070" t="s">
        <v>1514</v>
      </c>
    </row>
    <row r="21" spans="1:14 49:82" ht="21" customHeight="1">
      <c r="A21" s="1076" t="s">
        <v>1515</v>
      </c>
      <c s="1077">
        <v>2019</v>
      </c>
      <c r="I21" s="1078" t="s">
        <v>1516</v>
      </c>
      <c r="N21" s="1160" t="s">
        <v>1517</v>
      </c>
      <c r="AW21" s="1122" t="s">
        <v>1507</v>
      </c>
      <c s="1122" t="s">
        <v>1507</v>
      </c>
      <c r="AZ21" s="1122" t="s">
        <v>1518</v>
      </c>
      <c r="BB21" s="1122" t="s">
        <v>1519</v>
      </c>
      <c s="1122" t="s">
        <v>1323</v>
      </c>
      <c r="BE21" s="1122">
        <v>2019</v>
      </c>
      <c r="BH21" s="1070" t="s">
        <v>1443</v>
      </c>
      <c r="BJ21" s="1070" t="s">
        <v>1379</v>
      </c>
      <c r="BL21" s="1070" t="s">
        <v>1379</v>
      </c>
      <c r="BQ21" s="1283">
        <v>4190066</v>
      </c>
      <c s="1070" t="s">
        <v>1520</v>
      </c>
      <c s="1431"/>
      <c s="1283">
        <v>4189673</v>
      </c>
      <c s="1070" t="s">
        <v>1521</v>
      </c>
      <c s="1072"/>
      <c s="1697">
        <v>4189707</v>
      </c>
      <c s="1695" t="s">
        <v>1522</v>
      </c>
      <c r="BZ21" s="1283">
        <v>4189712</v>
      </c>
      <c s="1070" t="s">
        <v>1523</v>
      </c>
      <c r="CC21" s="1283">
        <v>4189710</v>
      </c>
      <c s="1070" t="s">
        <v>1524</v>
      </c>
    </row>
    <row r="22" spans="1:14 49:82" ht="21" customHeight="1">
      <c r="A22" s="1076" t="s">
        <v>1525</v>
      </c>
      <c s="1077">
        <v>2020</v>
      </c>
      <c r="N22" s="1160" t="s">
        <v>1526</v>
      </c>
      <c r="AW22" s="1122" t="s">
        <v>1516</v>
      </c>
      <c s="1122" t="s">
        <v>1516</v>
      </c>
      <c r="AZ22" s="1122" t="s">
        <v>1527</v>
      </c>
      <c r="BB22" s="1122" t="s">
        <v>1528</v>
      </c>
      <c s="1122" t="s">
        <v>1323</v>
      </c>
      <c r="BE22" s="1122">
        <v>2020</v>
      </c>
      <c r="BH22" s="1070" t="s">
        <v>1450</v>
      </c>
      <c r="BJ22" s="1070" t="s">
        <v>1395</v>
      </c>
      <c r="BL22" s="1070" t="s">
        <v>1395</v>
      </c>
      <c r="BQ22" s="1283">
        <v>4190067</v>
      </c>
      <c s="1070" t="s">
        <v>1529</v>
      </c>
      <c s="1431"/>
      <c s="1283">
        <v>4189674</v>
      </c>
      <c s="1070" t="s">
        <v>1530</v>
      </c>
      <c s="1072"/>
      <c s="1072"/>
      <c r="CC22" s="1283">
        <v>4189711</v>
      </c>
      <c s="1070" t="s">
        <v>293</v>
      </c>
    </row>
    <row r="23" spans="1:2 49:82" ht="21" customHeight="1">
      <c r="A23" s="1076" t="s">
        <v>1531</v>
      </c>
      <c s="1077">
        <v>2021</v>
      </c>
      <c r="AW23" s="1122" t="s">
        <v>1532</v>
      </c>
      <c s="1122" t="s">
        <v>1532</v>
      </c>
      <c r="AZ23" s="1122" t="s">
        <v>1533</v>
      </c>
      <c r="BB23" s="1122" t="s">
        <v>1534</v>
      </c>
      <c s="1122" t="s">
        <v>1232</v>
      </c>
      <c r="BE23" s="1122">
        <v>2021</v>
      </c>
      <c r="BH23" s="1070" t="s">
        <v>1458</v>
      </c>
      <c r="BJ23" s="1070" t="s">
        <v>1411</v>
      </c>
      <c r="BL23" s="1070" t="s">
        <v>1411</v>
      </c>
      <c r="BQ23" s="1283">
        <v>4190068</v>
      </c>
      <c s="1070" t="s">
        <v>1535</v>
      </c>
      <c s="1431"/>
      <c s="1283">
        <v>4189675</v>
      </c>
      <c s="1070" t="s">
        <v>1536</v>
      </c>
      <c s="1072"/>
      <c s="1072"/>
      <c r="CC23" s="1283">
        <v>5110778</v>
      </c>
      <c s="1070" t="s">
        <v>1537</v>
      </c>
    </row>
    <row r="24" spans="1:2 49:82" ht="21" customHeight="1">
      <c r="A24" s="1076" t="s">
        <v>1538</v>
      </c>
      <c s="1077">
        <v>2022</v>
      </c>
      <c r="AW24" s="1122" t="s">
        <v>1539</v>
      </c>
      <c s="1122" t="s">
        <v>1539</v>
      </c>
      <c r="AZ24" s="1122" t="s">
        <v>1540</v>
      </c>
      <c r="BB24" s="1122" t="s">
        <v>1541</v>
      </c>
      <c s="1122" t="s">
        <v>1542</v>
      </c>
      <c r="BE24" s="1122">
        <v>2022</v>
      </c>
      <c r="BH24" s="1070" t="s">
        <v>1467</v>
      </c>
      <c r="BJ24" s="1070" t="s">
        <v>1425</v>
      </c>
      <c r="BL24" s="1070" t="s">
        <v>1425</v>
      </c>
      <c r="BQ24" s="1283">
        <v>4190069</v>
      </c>
      <c s="1070" t="s">
        <v>1543</v>
      </c>
      <c s="1431"/>
      <c s="1283">
        <v>4189676</v>
      </c>
      <c s="1070" t="s">
        <v>1544</v>
      </c>
      <c s="1072"/>
      <c s="1072"/>
      <c r="CC24" s="1283">
        <v>25575374</v>
      </c>
      <c s="1070" t="s">
        <v>1545</v>
      </c>
    </row>
    <row r="25" spans="1:2 49:75" ht="11.25" customHeight="1">
      <c r="A25" s="1076" t="s">
        <v>1546</v>
      </c>
      <c s="1077">
        <v>2023</v>
      </c>
      <c r="AW25" s="1122" t="s">
        <v>1547</v>
      </c>
      <c s="1122" t="s">
        <v>1547</v>
      </c>
      <c r="AZ25" s="1122" t="s">
        <v>1548</v>
      </c>
      <c r="BB25" s="1122" t="s">
        <v>1549</v>
      </c>
      <c s="1122" t="s">
        <v>1542</v>
      </c>
      <c r="BE25" s="1122">
        <v>2023</v>
      </c>
      <c r="BH25" s="1070" t="s">
        <v>1474</v>
      </c>
      <c r="BJ25" s="1070" t="s">
        <v>1499</v>
      </c>
      <c r="BL25" s="1070" t="s">
        <v>1499</v>
      </c>
      <c r="BQ25" s="1283">
        <v>4190070</v>
      </c>
      <c s="1070" t="s">
        <v>1550</v>
      </c>
      <c s="1431"/>
      <c s="1283">
        <v>4189677</v>
      </c>
      <c s="1070" t="s">
        <v>1551</v>
      </c>
      <c s="1072"/>
      <c s="1072"/>
    </row>
    <row r="26" spans="1:10 50:75" ht="11.25" customHeight="1">
      <c r="A26" s="1076" t="s">
        <v>1552</v>
      </c>
      <c s="1077">
        <v>2024</v>
      </c>
      <c r="J26" s="1733" t="s">
        <v>1553</v>
      </c>
      <c r="AX26" s="1122" t="s">
        <v>1554</v>
      </c>
      <c r="AZ26" s="1122" t="s">
        <v>1418</v>
      </c>
      <c r="BB26" s="1122" t="s">
        <v>1555</v>
      </c>
      <c s="1122" t="s">
        <v>1542</v>
      </c>
      <c r="BE26" s="1122">
        <v>2024</v>
      </c>
      <c r="BH26" s="1070" t="s">
        <v>1485</v>
      </c>
      <c r="BJ26" s="1070" t="s">
        <v>1436</v>
      </c>
      <c r="BL26" s="1070" t="s">
        <v>1436</v>
      </c>
      <c r="BQ26" s="1283">
        <v>4190071</v>
      </c>
      <c s="1070" t="s">
        <v>1556</v>
      </c>
      <c s="1431"/>
      <c r="BV26" s="1072"/>
      <c s="1072"/>
    </row>
    <row r="27" spans="1:10 50:75" ht="11.25" customHeight="1">
      <c r="A27" s="1076" t="s">
        <v>1557</v>
      </c>
      <c s="1077">
        <v>2025</v>
      </c>
      <c r="J27" s="178" t="s">
        <v>689</v>
      </c>
      <c r="AX27" s="1122" t="s">
        <v>1558</v>
      </c>
      <c r="BB27" s="1122" t="s">
        <v>1559</v>
      </c>
      <c s="1122" t="s">
        <v>1542</v>
      </c>
      <c r="BE27" s="1122">
        <v>2025</v>
      </c>
      <c r="BH27" s="1072" t="s">
        <v>22</v>
      </c>
      <c r="BJ27" s="1070" t="s">
        <v>1443</v>
      </c>
      <c r="BL27" s="1070" t="s">
        <v>1443</v>
      </c>
      <c r="BN27" s="1072" t="s">
        <v>22</v>
      </c>
      <c r="BQ27" s="1283">
        <v>4190072</v>
      </c>
      <c s="1070" t="s">
        <v>1560</v>
      </c>
      <c s="1431"/>
      <c r="BV27" s="1072"/>
      <c s="1072"/>
    </row>
    <row r="28" spans="1:8 50:75" ht="11.25" customHeight="1">
      <c r="A28" s="1076" t="s">
        <v>1561</v>
      </c>
      <c r="D28" s="1103"/>
      <c s="1104"/>
      <c s="1104"/>
      <c r="H28" s="1105" t="s">
        <v>1562</v>
      </c>
      <c r="AX28" s="1122" t="s">
        <v>1563</v>
      </c>
      <c r="AZ28" s="1069" t="s">
        <v>1564</v>
      </c>
      <c r="BB28" s="1122" t="s">
        <v>1565</v>
      </c>
      <c s="1122" t="s">
        <v>1566</v>
      </c>
      <c r="BE28" s="1122">
        <v>2026</v>
      </c>
      <c r="BH28" s="1072" t="s">
        <v>22</v>
      </c>
      <c r="BJ28" s="1070" t="s">
        <v>1450</v>
      </c>
      <c r="BL28" s="1070" t="s">
        <v>1450</v>
      </c>
      <c r="BN28" s="1072" t="s">
        <v>22</v>
      </c>
      <c r="BQ28" s="1283">
        <v>4190073</v>
      </c>
      <c s="1070" t="s">
        <v>1567</v>
      </c>
      <c s="1431"/>
      <c r="BV28" s="1072"/>
      <c s="1072"/>
    </row>
    <row r="29" spans="1:8 50:64" ht="11.25" customHeight="1">
      <c r="A29" s="1076" t="s">
        <v>1568</v>
      </c>
      <c r="D29" s="1106" t="s">
        <v>1569</v>
      </c>
      <c s="1107" t="str">
        <f>IF(TEMPLATE_GROUP="","",INDEX(StartDateList,MATCH(TEMPLATE_GROUP,CodeTemplateList,0),1))</f>
        <v>01.04.2025</v>
      </c>
      <c s="1107" t="str">
        <f>IF(TEMPLATE_GROUP="","",INDEX(EndDateList,MATCH(TEMPLATE_GROUP,CodeTemplateList,0),1))</f>
        <v>30.06.2025</v>
      </c>
      <c r="H29" s="1108" t="s">
        <v>1570</v>
      </c>
      <c r="AX29" s="1122" t="s">
        <v>1571</v>
      </c>
      <c r="AZ29" s="1122" t="s">
        <v>1216</v>
      </c>
      <c r="BB29" s="1122" t="s">
        <v>1418</v>
      </c>
      <c s="1093"/>
      <c r="BE29" s="1122">
        <v>2027</v>
      </c>
      <c r="BJ29" s="1070" t="s">
        <v>1458</v>
      </c>
      <c r="BL29" s="1070" t="s">
        <v>1458</v>
      </c>
    </row>
    <row r="30" spans="1:6 50:64" ht="11.25" customHeight="1">
      <c r="A30" s="1076" t="s">
        <v>16</v>
      </c>
      <c r="D30" s="1109"/>
      <c s="1110"/>
      <c s="1110"/>
      <c r="AX30" s="1122" t="s">
        <v>1572</v>
      </c>
      <c r="AZ30" s="1122" t="s">
        <v>1243</v>
      </c>
      <c r="BE30" s="1122">
        <v>2028</v>
      </c>
      <c r="BJ30" s="1070" t="s">
        <v>1573</v>
      </c>
      <c r="BL30" s="1070" t="s">
        <v>1573</v>
      </c>
    </row>
    <row r="31" spans="1:8 50:64" ht="12.75" customHeight="1">
      <c r="A31" s="1076" t="s">
        <v>1574</v>
      </c>
      <c r="D31" s="1103"/>
      <c s="1104"/>
      <c s="1104"/>
      <c r="H31" s="1111"/>
      <c r="AX31" s="1122" t="s">
        <v>1575</v>
      </c>
      <c r="AZ31" s="1122" t="s">
        <v>1576</v>
      </c>
      <c r="BE31" s="1122">
        <v>2029</v>
      </c>
      <c r="BJ31" s="1070" t="s">
        <v>1577</v>
      </c>
      <c r="BL31" s="1070" t="s">
        <v>1577</v>
      </c>
    </row>
    <row r="32" spans="1:15 50:64" ht="11.25" customHeight="1">
      <c r="A32" s="1076" t="s">
        <v>1578</v>
      </c>
      <c r="D32" s="1106" t="s">
        <v>1579</v>
      </c>
      <c s="1107" t="str">
        <f>IF(TEMPLATE_GROUP="","",INDEX(StartDateList,MATCH(TEMPLATE_GROUP,CodeTemplateList,0),1))</f>
        <v>01.04.2025</v>
      </c>
      <c s="1107" t="str">
        <f>IF(TEMPLATE_GROUP="","",INDEX(EndDateList,MATCH(TEMPLATE_GROUP,CodeTemplateList,0),1))</f>
        <v>30.06.2025</v>
      </c>
      <c r="H32" s="1112" t="s">
        <v>1580</v>
      </c>
      <c r="O32" s="1076" t="s">
        <v>1214</v>
      </c>
      <c r="AX32" s="1122" t="s">
        <v>1581</v>
      </c>
      <c r="AZ32" s="1122" t="s">
        <v>1311</v>
      </c>
      <c r="BE32" s="1122">
        <v>2030</v>
      </c>
      <c r="BJ32" s="1070" t="s">
        <v>1467</v>
      </c>
      <c r="BL32" s="1070" t="s">
        <v>1467</v>
      </c>
    </row>
    <row r="33" spans="1:15 50:64" ht="11.25" customHeight="1">
      <c r="A33" s="1076" t="s">
        <v>1582</v>
      </c>
      <c r="O33" s="1076" t="s">
        <v>1240</v>
      </c>
      <c r="AX33" s="1122" t="s">
        <v>1583</v>
      </c>
      <c r="AZ33" s="1122" t="s">
        <v>1215</v>
      </c>
      <c r="BE33" s="1122">
        <v>2031</v>
      </c>
      <c r="BJ33" s="1070" t="s">
        <v>1474</v>
      </c>
      <c r="BL33" s="1070" t="s">
        <v>1474</v>
      </c>
    </row>
    <row r="34" spans="1:15 50:64" ht="11.25" customHeight="1">
      <c r="A34" s="1076" t="s">
        <v>1584</v>
      </c>
      <c r="O34" s="1076" t="s">
        <v>1276</v>
      </c>
      <c r="AX34" s="1122" t="s">
        <v>1585</v>
      </c>
      <c r="BE34" s="1122">
        <v>2032</v>
      </c>
      <c r="BJ34" s="1070" t="s">
        <v>1485</v>
      </c>
      <c r="BL34" s="1070" t="s">
        <v>1485</v>
      </c>
    </row>
    <row r="35" spans="1:15 50:64" ht="11.25" customHeight="1">
      <c r="A35" s="1076" t="s">
        <v>1586</v>
      </c>
      <c r="O35" s="1076" t="s">
        <v>1309</v>
      </c>
      <c r="AX35" s="1122" t="s">
        <v>1587</v>
      </c>
      <c r="AZ35" s="1069" t="s">
        <v>1588</v>
      </c>
      <c r="BE35" s="1122">
        <v>2033</v>
      </c>
      <c r="BL35" s="1070" t="s">
        <v>1589</v>
      </c>
    </row>
    <row r="36" spans="1:15 50:64" ht="11.25" customHeight="1">
      <c r="A36" s="1872" t="s">
        <v>1590</v>
      </c>
      <c r="D36" s="1113" t="s">
        <v>1591</v>
      </c>
      <c s="1114" t="s">
        <v>907</v>
      </c>
      <c s="1115" t="str">
        <f>INDEX(E37:E41,MATCH(TEMPLATE_SPHERE,F37:F41,0))</f>
        <v>водоотведения</v>
      </c>
      <c s="1115" t="str">
        <f>INDEX(G37:G41,MATCH(TEMPLATE_SPHERE,F37:F41,0))</f>
        <v>водоотведение</v>
      </c>
      <c r="O36" s="1076" t="s">
        <v>1334</v>
      </c>
      <c r="AX36" s="1122" t="s">
        <v>1592</v>
      </c>
      <c r="AZ36" s="1122" t="s">
        <v>1215</v>
      </c>
      <c r="BE36" s="1122">
        <v>2034</v>
      </c>
      <c r="BL36" s="1070" t="s">
        <v>1593</v>
      </c>
    </row>
    <row r="37" spans="1:15 50:57" ht="11.25" customHeight="1">
      <c r="A37" s="1076" t="s">
        <v>1594</v>
      </c>
      <c r="E37" s="409" t="s">
        <v>1595</v>
      </c>
      <c s="1116" t="s">
        <v>808</v>
      </c>
      <c s="409" t="s">
        <v>1596</v>
      </c>
      <c r="O37" s="1076" t="s">
        <v>1353</v>
      </c>
      <c r="AX37" s="1122" t="s">
        <v>1597</v>
      </c>
      <c r="AZ37" s="1122" t="s">
        <v>1242</v>
      </c>
      <c r="BE37" s="1122">
        <v>2035</v>
      </c>
    </row>
    <row r="38" spans="1:15 50:66" ht="11.25" customHeight="1">
      <c r="A38" s="1076" t="s">
        <v>1598</v>
      </c>
      <c r="E38" s="409" t="s">
        <v>1599</v>
      </c>
      <c s="1117" t="s">
        <v>854</v>
      </c>
      <c s="409" t="s">
        <v>1600</v>
      </c>
      <c r="O38" s="1076" t="s">
        <v>1370</v>
      </c>
      <c r="AX38" s="1122" t="s">
        <v>1601</v>
      </c>
      <c r="AZ38" s="1122" t="s">
        <v>1277</v>
      </c>
      <c r="BE38" s="1122">
        <v>2036</v>
      </c>
      <c r="BH38" s="1069" t="s">
        <v>1602</v>
      </c>
      <c r="BJ38" s="1069" t="s">
        <v>1603</v>
      </c>
      <c r="BL38" s="1069" t="s">
        <v>1604</v>
      </c>
      <c r="BN38" s="1069" t="s">
        <v>1605</v>
      </c>
    </row>
    <row r="39" spans="1:15 50:66" ht="11.25" customHeight="1">
      <c r="A39" s="1076" t="s">
        <v>1606</v>
      </c>
      <c r="E39" s="409" t="s">
        <v>1607</v>
      </c>
      <c s="1117" t="s">
        <v>907</v>
      </c>
      <c s="409" t="s">
        <v>1608</v>
      </c>
      <c r="O39" s="1076" t="s">
        <v>1386</v>
      </c>
      <c r="AX39" s="1122" t="s">
        <v>1609</v>
      </c>
      <c r="AZ39" s="1122" t="s">
        <v>1310</v>
      </c>
      <c r="BE39" s="1122">
        <v>2037</v>
      </c>
      <c r="BH39" s="1070" t="s">
        <v>1610</v>
      </c>
      <c r="BJ39" s="1219" t="s">
        <v>1610</v>
      </c>
      <c r="BL39" s="1219" t="s">
        <v>1610</v>
      </c>
      <c r="BN39" s="1070" t="s">
        <v>1611</v>
      </c>
    </row>
    <row r="40" spans="1:15 50:66" ht="11.25" customHeight="1">
      <c r="A40" s="1076" t="s">
        <v>1612</v>
      </c>
      <c r="E40" s="409" t="s">
        <v>1613</v>
      </c>
      <c s="1117" t="s">
        <v>894</v>
      </c>
      <c s="409" t="s">
        <v>1614</v>
      </c>
      <c r="O40" s="1076" t="s">
        <v>1402</v>
      </c>
      <c r="AX40" s="1122" t="s">
        <v>1615</v>
      </c>
      <c r="BE40" s="1122">
        <v>2038</v>
      </c>
      <c r="BH40" s="1070" t="s">
        <v>1616</v>
      </c>
      <c r="BJ40" s="1219" t="s">
        <v>1027</v>
      </c>
      <c r="BL40" s="1219" t="s">
        <v>1027</v>
      </c>
      <c r="BN40" s="1070" t="s">
        <v>1061</v>
      </c>
    </row>
    <row r="41" spans="1:15 50:66" ht="11.25" customHeight="1">
      <c r="A41" s="1076" t="s">
        <v>1617</v>
      </c>
      <c r="E41" s="409" t="s">
        <v>1618</v>
      </c>
      <c s="1117" t="s">
        <v>1619</v>
      </c>
      <c s="409" t="s">
        <v>1618</v>
      </c>
      <c r="O41" s="1076" t="s">
        <v>1418</v>
      </c>
      <c r="AX41" s="1122" t="s">
        <v>1620</v>
      </c>
      <c r="AZ41" s="1069" t="s">
        <v>1621</v>
      </c>
      <c r="BE41" s="1122">
        <v>2039</v>
      </c>
      <c r="BH41" s="1070" t="s">
        <v>1622</v>
      </c>
      <c r="BJ41" s="1219" t="s">
        <v>1023</v>
      </c>
      <c r="BL41" s="1219" t="s">
        <v>1023</v>
      </c>
      <c r="BN41" s="1070" t="s">
        <v>1048</v>
      </c>
    </row>
    <row r="42" spans="1:1 50:66" ht="11.25" customHeight="1">
      <c r="A42" s="1076" t="s">
        <v>1623</v>
      </c>
      <c r="AX42" s="1122" t="s">
        <v>1624</v>
      </c>
      <c r="AZ42" s="1122" t="s">
        <v>1214</v>
      </c>
      <c r="BE42" s="1122">
        <v>2040</v>
      </c>
      <c r="BH42" s="1070" t="s">
        <v>1045</v>
      </c>
      <c r="BJ42" s="1219" t="s">
        <v>1025</v>
      </c>
      <c r="BL42" s="1219" t="s">
        <v>1025</v>
      </c>
      <c r="BN42" s="1070" t="s">
        <v>1625</v>
      </c>
    </row>
    <row r="43" spans="1:1 50:66" ht="11.25" customHeight="1">
      <c r="A43" s="1076" t="s">
        <v>1626</v>
      </c>
      <c r="AX43" s="1122" t="s">
        <v>1627</v>
      </c>
      <c r="AZ43" s="1122" t="s">
        <v>1240</v>
      </c>
      <c r="BE43" s="1122">
        <v>2041</v>
      </c>
      <c r="BH43" s="1070" t="s">
        <v>1628</v>
      </c>
      <c r="BJ43" s="1219" t="s">
        <v>1622</v>
      </c>
      <c r="BL43" s="1219" t="s">
        <v>1622</v>
      </c>
      <c r="BN43" s="1070" t="s">
        <v>1629</v>
      </c>
    </row>
    <row r="44" spans="1:11 50:66" ht="11.25" customHeight="1">
      <c r="A44" s="1076" t="s">
        <v>1630</v>
      </c>
      <c r="G44" s="1096">
        <f ca="1">YEAR(TODAY())</f>
        <v>2026</v>
      </c>
      <c r="I44" s="801" t="s">
        <v>1631</v>
      </c>
      <c s="1091" t="s">
        <v>1632</v>
      </c>
      <c s="1091" t="s">
        <v>1633</v>
      </c>
      <c r="AX44" s="1122" t="s">
        <v>1634</v>
      </c>
      <c r="AZ44" s="1122" t="s">
        <v>1276</v>
      </c>
      <c r="BE44" s="1122">
        <v>2042</v>
      </c>
      <c r="BH44" s="1070" t="s">
        <v>1635</v>
      </c>
      <c r="BJ44" s="1219" t="s">
        <v>1045</v>
      </c>
      <c r="BL44" s="1219" t="s">
        <v>1045</v>
      </c>
      <c r="BN44" s="1070" t="s">
        <v>1636</v>
      </c>
    </row>
    <row r="45" spans="1:11 50:66" ht="11.25" customHeight="1">
      <c r="A45" s="1076" t="s">
        <v>1637</v>
      </c>
      <c r="D45" s="1113" t="s">
        <v>1638</v>
      </c>
      <c s="1114" t="s">
        <v>1639</v>
      </c>
      <c s="799" t="s">
        <v>1640</v>
      </c>
      <c s="798" t="s">
        <v>1641</v>
      </c>
      <c s="801" t="s">
        <v>1642</v>
      </c>
      <c s="1743">
        <f>INDEX(PeriodIsEmptyList,MATCH(TEMPLATE_GROUP,CodeTemplateList,0),1)</f>
        <v>0</v>
      </c>
      <c s="174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1309</v>
      </c>
      <c r="BE45" s="1122">
        <v>2043</v>
      </c>
      <c r="BH45" s="1070" t="s">
        <v>1644</v>
      </c>
      <c r="BJ45" s="1219" t="s">
        <v>1039</v>
      </c>
      <c r="BL45" s="1219" t="s">
        <v>1039</v>
      </c>
      <c r="BN45" s="1070" t="s">
        <v>1645</v>
      </c>
    </row>
    <row r="46" spans="1:11 50:66" ht="11.25" customHeight="1">
      <c r="A46" s="1076" t="s">
        <v>1646</v>
      </c>
      <c r="E46" s="409" t="s">
        <v>27</v>
      </c>
      <c s="1116" t="s">
        <v>1647</v>
      </c>
      <c s="1118" t="str">
        <f>IFERROR(IF(TITLE_DATE_FIL="","01.01."&amp;CURRENT_YEAR,"01.01."&amp;YEAR(TITLE_DATE_FIL)),"01.01."&amp;CURRENT_YEAR)</f>
        <v>01.01.2026</v>
      </c>
      <c s="1118" t="str">
        <f>IFERROR(IF(TITLE_DATE_FIL="","31.12."&amp;CURRENT_YEAR,"31.12."&amp;YEAR(TITLE_DATE_FIL)),"31.12."&amp;CURRENT_YEAR)</f>
        <v>31.12.2026</v>
      </c>
      <c s="1744">
        <f>IF(TITLE_DATE_FIL="",TRUE,FALSE)</f>
        <v>1</v>
      </c>
      <c s="1747" t="str">
        <f>"Общая информация о регулируемой организации ("&amp;TEMPLATE_SPHERE_RUS&amp;")"</f>
        <v>Общая информация о регулируемой организации (водоотведения)</v>
      </c>
      <c s="1748"/>
      <c r="AX46" s="1122" t="s">
        <v>1648</v>
      </c>
      <c r="AZ46" s="1122" t="s">
        <v>1334</v>
      </c>
      <c r="BE46" s="1122">
        <v>2044</v>
      </c>
      <c r="BH46" s="1070" t="s">
        <v>1048</v>
      </c>
      <c r="BJ46" s="1219" t="s">
        <v>1029</v>
      </c>
      <c r="BL46" s="1219" t="s">
        <v>1029</v>
      </c>
      <c r="BN46" s="1070" t="s">
        <v>1649</v>
      </c>
    </row>
    <row r="47" spans="1:11 50:66" ht="11.25" customHeight="1">
      <c r="A47" s="1076" t="s">
        <v>1650</v>
      </c>
      <c r="E47" s="409" t="s">
        <v>33</v>
      </c>
      <c s="1117" t="s">
        <v>1639</v>
      </c>
      <c s="1118" t="str">
        <f>IFERROR(IF(f_year="","01.01."&amp;CURRENT_YEAR,IF(LEN(f_quart)=0,"01.01."&amp;f_year,IF(f_quart="I квартал","01.01."&amp;f_year,IF(f_quart="II квартал","01.04."&amp;f_year,(IF(f_quart="III квартал","01.07."&amp;f_year,"01.10."&amp;f_year)))))),"01.01."&amp;CURRENT_YEAR)</f>
        <v>01.04.2025</v>
      </c>
      <c s="1118" t="str">
        <f>IFERROR(IF(f_year="","31.12."&amp;CURRENT_YEAR,IF(LEN(f_quart)=0,"31.12."&amp;f_year,IF(f_quart="I квартал","31.03."&amp;f_year,IF(f_quart="II квартал","30.06."&amp;f_year,(IF(f_quart="III квартал","30.09."&amp;f_year,"31.12."&amp;f_year)))))),"31.12."&amp;CURRENT_YEAR)</f>
        <v>30.06.2025</v>
      </c>
      <c s="1745">
        <f>IF(OR(f_year="",f_quart=""),TRUE,FALSE)</f>
        <v>0</v>
      </c>
      <c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8"/>
      <c r="AX47" s="1122" t="s">
        <v>1651</v>
      </c>
      <c r="AZ47" s="1122" t="s">
        <v>1353</v>
      </c>
      <c r="BE47" s="1122">
        <v>2045</v>
      </c>
      <c r="BH47" s="1070" t="s">
        <v>1625</v>
      </c>
      <c r="BJ47" s="1219" t="s">
        <v>1031</v>
      </c>
      <c r="BL47" s="1219" t="s">
        <v>1031</v>
      </c>
      <c r="BN47" s="1070" t="s">
        <v>1652</v>
      </c>
    </row>
    <row r="48" spans="1:11 50:66" ht="11.25" customHeight="1">
      <c r="A48" s="1076" t="s">
        <v>1653</v>
      </c>
      <c r="E48" s="409" t="s">
        <v>1654</v>
      </c>
      <c s="1117" t="s">
        <v>1655</v>
      </c>
      <c s="1118" t="str">
        <f>IFERROR(IF(f_year="","01.01."&amp;CURRENT_YEAR,"01.01."&amp;f_year),"01.01."&amp;CURRENT_YEAR)</f>
        <v>01.01.2025</v>
      </c>
      <c s="1118" t="str">
        <f>IFERROR(IF(f_year="","31.12."&amp;CURRENT_YEAR,"31.12."&amp;f_year),"31.12."&amp;CURRENT_YEAR)</f>
        <v>31.12.2025</v>
      </c>
      <c s="1744">
        <f>IF(f_year="",TRUE,FALSE)</f>
        <v>0</v>
      </c>
      <c s="1747" t="s">
        <v>1656</v>
      </c>
      <c s="1748"/>
      <c r="AX48" s="1122" t="s">
        <v>1657</v>
      </c>
      <c r="AZ48" s="1122" t="s">
        <v>1370</v>
      </c>
      <c r="BE48" s="1122">
        <v>2046</v>
      </c>
      <c r="BH48" s="1070" t="s">
        <v>1629</v>
      </c>
      <c r="BJ48" s="1219" t="s">
        <v>1033</v>
      </c>
      <c r="BL48" s="1219" t="s">
        <v>1033</v>
      </c>
      <c r="BN48" s="1070" t="s">
        <v>1658</v>
      </c>
    </row>
    <row r="49" spans="1:11 50:64" ht="11.25" customHeight="1">
      <c r="A49" s="1076" t="s">
        <v>1659</v>
      </c>
      <c r="E49" s="409" t="s">
        <v>1660</v>
      </c>
      <c s="1117" t="s">
        <v>1661</v>
      </c>
      <c s="1118" t="str">
        <f>IFERROR(IF(f_year="","01.01."&amp;CURRENT_YEAR,"01.01."&amp;f_year),"01.01."&amp;CURRENT_YEAR)</f>
        <v>01.01.2025</v>
      </c>
      <c s="1118" t="str">
        <f>IFERROR(IF(f_year="","31.12."&amp;CURRENT_YEAR,"31.12."&amp;f_year),"31.12."&amp;CURRENT_YEAR)</f>
        <v>31.12.2025</v>
      </c>
      <c s="1744">
        <f>IF(f_year="",TRUE,FALSE)</f>
        <v>0</v>
      </c>
      <c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1748"/>
      <c r="AX49" s="1122" t="s">
        <v>1662</v>
      </c>
      <c r="AZ49" s="1122" t="s">
        <v>1386</v>
      </c>
      <c r="BE49" s="1122">
        <v>2047</v>
      </c>
      <c r="BH49" s="1070" t="s">
        <v>1049</v>
      </c>
      <c r="BJ49" s="1219" t="s">
        <v>1035</v>
      </c>
      <c r="BL49" s="1219" t="s">
        <v>1035</v>
      </c>
    </row>
    <row r="50" spans="1:11 50:64" ht="11.25" customHeight="1">
      <c r="A50" s="1076" t="s">
        <v>1663</v>
      </c>
      <c r="E50" s="409" t="s">
        <v>1664</v>
      </c>
      <c s="1117" t="s">
        <v>1019</v>
      </c>
      <c s="1118" t="str">
        <f>IFERROR(IF(f_year="","01.01."&amp;CURRENT_YEAR,"01.01."&amp;f_year),"01.01."&amp;CURRENT_YEAR)</f>
        <v>01.01.2025</v>
      </c>
      <c s="1118" t="str">
        <f>IFERROR(IF(f_year="","31.12."&amp;CURRENT_YEAR,"31.12."&amp;f_year),"31.12."&amp;CURRENT_YEAR)</f>
        <v>31.12.2025</v>
      </c>
      <c s="1744">
        <f>IF(f_year="",TRUE,FALSE)</f>
        <v>0</v>
      </c>
      <c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1748"/>
      <c r="AX50" s="1122" t="s">
        <v>1665</v>
      </c>
      <c r="AZ50" s="1122" t="s">
        <v>1402</v>
      </c>
      <c r="BE50" s="1122">
        <v>2048</v>
      </c>
      <c r="BH50" s="1070" t="s">
        <v>1636</v>
      </c>
      <c r="BJ50" s="1219" t="s">
        <v>1037</v>
      </c>
      <c r="BL50" s="1219" t="s">
        <v>1037</v>
      </c>
    </row>
    <row r="51" spans="1:11 50:64" ht="11.25" customHeight="1">
      <c r="A51" s="1076" t="s">
        <v>1666</v>
      </c>
      <c r="E51" s="409" t="s">
        <v>1667</v>
      </c>
      <c s="1117" t="s">
        <v>1668</v>
      </c>
      <c s="1118" t="str">
        <f>IFERROR(IF(TITLE_PERIOD_START="","01.01."&amp;CURRENT_YEAR,"01.01."&amp;YEAR(TITLE_PERIOD_START)),"01.01."&amp;CURRENT_YEAR)</f>
        <v>01.01.2026</v>
      </c>
      <c s="1118" t="str">
        <f>IFERROR(IF(TITLE_PERIOD_END="","31.12."&amp;CURRENT_YEAR,"31.12."&amp;YEAR(TITLE_PERIOD_END)),"31.12."&amp;CURRENT_YEAR)</f>
        <v>31.12.2026</v>
      </c>
      <c s="1745">
        <f>IF(OR(TITLE_PERIOD_START="",TITLE_PERIOD_END=""),TRUE,FALSE)</f>
        <v>1</v>
      </c>
      <c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8"/>
      <c r="AX51" s="1122" t="s">
        <v>1669</v>
      </c>
      <c r="AZ51" s="1122" t="s">
        <v>1418</v>
      </c>
      <c r="BE51" s="1122">
        <v>2049</v>
      </c>
      <c r="BH51" s="1070" t="s">
        <v>1645</v>
      </c>
      <c r="BJ51" s="1219" t="s">
        <v>1670</v>
      </c>
      <c r="BL51" s="1219" t="s">
        <v>1670</v>
      </c>
    </row>
    <row r="52" spans="1:11 50:64" ht="11.25" customHeight="1">
      <c r="A52" s="1076" t="s">
        <v>1671</v>
      </c>
      <c r="E52" s="409" t="s">
        <v>1672</v>
      </c>
      <c s="1117" t="s">
        <v>1673</v>
      </c>
      <c s="1118" t="str">
        <f>IFERROR(IF(TITLE_PERIOD_START="","01.01."&amp;CURRENT_YEAR,"01.01."&amp;YEAR(TITLE_PERIOD_START)),"01.01."&amp;CURRENT_YEAR)</f>
        <v>01.01.2026</v>
      </c>
      <c s="1118" t="str">
        <f>IFERROR(IF(TITLE_PERIOD_END="","31.12."&amp;CURRENT_YEAR,"31.12."&amp;YEAR(TITLE_PERIOD_END)),"31.12."&amp;CURRENT_YEAR)</f>
        <v>31.12.2026</v>
      </c>
      <c s="1745">
        <f>IF(OR(TITLE_PERIOD_START="",TITLE_PERIOD_END=""),TRUE,FALSE)</f>
        <v>1</v>
      </c>
      <c s="1747" t="str">
        <f>"Показатели, подлежащие раскрытию в сфере "&amp;TEMPLATE_SPHERE_RUS&amp;" (цены и тарифы)"</f>
        <v>Показатели, подлежащие раскрытию в сфере водоотведения (цены и тарифы)</v>
      </c>
      <c s="1748"/>
      <c r="AX52" s="1122" t="s">
        <v>1674</v>
      </c>
      <c r="AZ52" s="1122" t="s">
        <v>1215</v>
      </c>
      <c r="BE52" s="1122">
        <v>2050</v>
      </c>
      <c r="BH52" s="1070" t="s">
        <v>1649</v>
      </c>
      <c r="BJ52" s="1219" t="s">
        <v>1048</v>
      </c>
      <c r="BL52" s="1219" t="s">
        <v>1048</v>
      </c>
    </row>
    <row r="53" spans="1:11 50:64" ht="11.25" customHeight="1">
      <c r="A53" s="1076" t="s">
        <v>1675</v>
      </c>
      <c r="E53" s="409" t="s">
        <v>1676</v>
      </c>
      <c s="1117" t="s">
        <v>1676</v>
      </c>
      <c s="1118" t="str">
        <f>IFERROR(IF(f_year="","01.01."&amp;CURRENT_YEAR,"01.01."&amp;f_year),"01.01."&amp;CURRENT_YEAR)</f>
        <v>01.01.2025</v>
      </c>
      <c s="1118" t="str">
        <f>IFERROR(IF(f_year="","31.12."&amp;CURRENT_YEAR,"31.12."&amp;f_year),"31.12."&amp;CURRENT_YEAR)</f>
        <v>31.12.2025</v>
      </c>
      <c s="1744">
        <f>IF(AND(f_year="",TITLE_DATE_FIL=""),TRUE,FALSE)</f>
        <v>0</v>
      </c>
      <c s="1747" t="s">
        <v>1677</v>
      </c>
      <c s="1748"/>
      <c r="AX53" s="1122" t="s">
        <v>1678</v>
      </c>
      <c r="BE53" s="1122">
        <v>2051</v>
      </c>
      <c r="BH53" s="1070" t="s">
        <v>1652</v>
      </c>
      <c r="BJ53" s="1219" t="s">
        <v>1625</v>
      </c>
      <c r="BL53" s="1219" t="s">
        <v>1625</v>
      </c>
    </row>
    <row r="54" spans="1:1 50:64" ht="11.25" customHeight="1">
      <c r="A54" s="1076" t="s">
        <v>1679</v>
      </c>
      <c r="AX54" s="1122" t="s">
        <v>1680</v>
      </c>
      <c r="AZ54" s="1069" t="s">
        <v>1681</v>
      </c>
      <c r="BE54" s="1122">
        <v>2052</v>
      </c>
      <c r="BH54" s="1070" t="s">
        <v>1658</v>
      </c>
      <c r="BJ54" s="1219" t="s">
        <v>1629</v>
      </c>
      <c r="BL54" s="1219" t="s">
        <v>1629</v>
      </c>
    </row>
    <row r="55" spans="1:1 50:64" ht="11.25" customHeight="1">
      <c r="A55" s="1076" t="s">
        <v>1682</v>
      </c>
      <c r="AX55" s="1122" t="s">
        <v>1683</v>
      </c>
      <c r="AZ55" s="1122" t="s">
        <v>1217</v>
      </c>
      <c r="BE55" s="1122">
        <v>2053</v>
      </c>
      <c r="BH55" s="1072" t="s">
        <v>22</v>
      </c>
      <c r="BJ55" s="1219" t="s">
        <v>1049</v>
      </c>
      <c r="BL55" s="1219" t="s">
        <v>1049</v>
      </c>
    </row>
    <row r="56" spans="1:6 50:64" ht="11.25" customHeight="1">
      <c r="A56" s="1076" t="s">
        <v>1684</v>
      </c>
      <c r="D56" s="1120" t="s">
        <v>1685</v>
      </c>
      <c s="1097" t="s">
        <v>111</v>
      </c>
      <c s="1076" t="s">
        <v>1686</v>
      </c>
      <c r="AX56" s="1122" t="s">
        <v>1687</v>
      </c>
      <c r="AZ56" s="1122" t="s">
        <v>1244</v>
      </c>
      <c r="BE56" s="1122">
        <v>2054</v>
      </c>
      <c r="BH56" s="1072" t="s">
        <v>22</v>
      </c>
      <c r="BJ56" s="1219" t="s">
        <v>1636</v>
      </c>
      <c r="BL56" s="1219" t="s">
        <v>1636</v>
      </c>
    </row>
    <row r="57" spans="1:6 50:64" ht="11.25" customHeight="1">
      <c r="A57" s="1076" t="s">
        <v>1688</v>
      </c>
      <c r="D57" s="1120" t="s">
        <v>1689</v>
      </c>
      <c s="1097" t="s">
        <v>111</v>
      </c>
      <c s="1076" t="s">
        <v>1686</v>
      </c>
      <c r="AX57" s="1122" t="s">
        <v>1690</v>
      </c>
      <c r="AZ57" s="1122" t="s">
        <v>1279</v>
      </c>
      <c r="BE57" s="1122">
        <v>2055</v>
      </c>
      <c r="BJ57" s="1219" t="s">
        <v>1645</v>
      </c>
      <c r="BL57" s="1219" t="s">
        <v>1645</v>
      </c>
    </row>
    <row r="58" spans="1:6 50:64" ht="11.25" customHeight="1">
      <c r="A58" s="1076" t="s">
        <v>1691</v>
      </c>
      <c r="D58" s="1120" t="s">
        <v>1692</v>
      </c>
      <c s="1097" t="s">
        <v>111</v>
      </c>
      <c s="1076" t="s">
        <v>1686</v>
      </c>
      <c r="AX58" s="1122" t="s">
        <v>1693</v>
      </c>
      <c r="BE58" s="1122">
        <v>2056</v>
      </c>
      <c r="BJ58" s="1219" t="s">
        <v>1649</v>
      </c>
      <c r="BL58" s="1219" t="s">
        <v>1649</v>
      </c>
    </row>
    <row r="59" spans="1:6 50:64" ht="11.25" customHeight="1">
      <c r="A59" s="1076" t="s">
        <v>1694</v>
      </c>
      <c r="D59" s="1120" t="s">
        <v>133</v>
      </c>
      <c s="1097" t="s">
        <v>1581</v>
      </c>
      <c s="1076" t="s">
        <v>1695</v>
      </c>
      <c r="AX59" s="1122" t="s">
        <v>1696</v>
      </c>
      <c r="AZ59" s="1069" t="s">
        <v>1697</v>
      </c>
      <c r="BE59" s="1122">
        <v>2057</v>
      </c>
      <c r="BJ59" s="1219" t="s">
        <v>1652</v>
      </c>
      <c r="BL59" s="1219" t="s">
        <v>1652</v>
      </c>
    </row>
    <row r="60" spans="1:6 50:64" ht="11.25" customHeight="1">
      <c r="A60" s="1076" t="s">
        <v>1698</v>
      </c>
      <c r="D60" s="1120" t="s">
        <v>1699</v>
      </c>
      <c s="1097" t="s">
        <v>1581</v>
      </c>
      <c s="1076" t="s">
        <v>1695</v>
      </c>
      <c r="AX60" s="1122" t="s">
        <v>1700</v>
      </c>
      <c r="AZ60" s="1122" t="s">
        <v>1218</v>
      </c>
      <c r="BE60" s="1122">
        <v>2058</v>
      </c>
      <c r="BJ60" s="1219" t="s">
        <v>1658</v>
      </c>
      <c r="BL60" s="1219" t="s">
        <v>1658</v>
      </c>
    </row>
    <row r="61" spans="1:6 50:64" ht="11.25" customHeight="1">
      <c r="A61" s="1076" t="s">
        <v>1701</v>
      </c>
      <c r="D61" s="1120" t="s">
        <v>1702</v>
      </c>
      <c s="1097" t="s">
        <v>1581</v>
      </c>
      <c s="1076" t="s">
        <v>1695</v>
      </c>
      <c r="AX61" s="1122" t="s">
        <v>1703</v>
      </c>
      <c r="AZ61" s="1122" t="s">
        <v>1245</v>
      </c>
      <c r="BE61" s="1122">
        <v>2059</v>
      </c>
      <c r="BL61" s="1219" t="s">
        <v>1041</v>
      </c>
    </row>
    <row r="62" spans="1:6 52:64" ht="11.25" customHeight="1">
      <c r="A62" s="1076" t="s">
        <v>1704</v>
      </c>
      <c r="D62" s="1120" t="s">
        <v>132</v>
      </c>
      <c s="1097">
        <v>30</v>
      </c>
      <c s="1076" t="s">
        <v>1695</v>
      </c>
      <c r="AZ62" s="1122" t="s">
        <v>1280</v>
      </c>
      <c r="BE62" s="1122">
        <v>2060</v>
      </c>
      <c r="BL62" s="1219" t="s">
        <v>1043</v>
      </c>
    </row>
    <row r="63" spans="1:6 52:57" ht="11.25" customHeight="1">
      <c r="A63" s="1076" t="s">
        <v>1705</v>
      </c>
      <c r="D63" s="1120" t="s">
        <v>1706</v>
      </c>
      <c s="1097">
        <v>30</v>
      </c>
      <c s="1076" t="s">
        <v>1695</v>
      </c>
      <c r="AZ63" s="1122" t="s">
        <v>1312</v>
      </c>
      <c r="BE63" s="1122">
        <v>2061</v>
      </c>
    </row>
    <row r="64" spans="1:6 52:57" ht="11.25" customHeight="1">
      <c r="A64" s="1076" t="s">
        <v>1707</v>
      </c>
      <c r="D64" s="1120" t="s">
        <v>1708</v>
      </c>
      <c s="1097">
        <v>30</v>
      </c>
      <c s="1076" t="s">
        <v>1695</v>
      </c>
      <c r="AZ64" s="1122" t="s">
        <v>1335</v>
      </c>
      <c r="BE64" s="1122">
        <v>2062</v>
      </c>
    </row>
    <row r="65" spans="1:4 57:57" ht="11.25" customHeight="1">
      <c r="A65" s="1076" t="s">
        <v>1709</v>
      </c>
      <c r="D65" s="1076"/>
      <c r="BE65" s="1122">
        <v>2063</v>
      </c>
    </row>
    <row r="66" spans="1:1 52:57" ht="11.25" customHeight="1">
      <c r="A66" s="1076" t="s">
        <v>1710</v>
      </c>
      <c r="AZ66" s="1069" t="s">
        <v>1711</v>
      </c>
      <c r="BE66" s="1122">
        <v>2064</v>
      </c>
    </row>
    <row r="67" spans="1:1 52:57" ht="11.25" customHeight="1">
      <c r="A67" s="1076" t="s">
        <v>1712</v>
      </c>
      <c r="AZ67" s="1122" t="s">
        <v>1219</v>
      </c>
      <c r="BE67" s="1122">
        <v>2065</v>
      </c>
    </row>
    <row r="68" spans="1:1 52:66" ht="11.25" customHeight="1">
      <c r="A68" s="1076" t="s">
        <v>1713</v>
      </c>
      <c r="AZ68" s="1122" t="s">
        <v>1246</v>
      </c>
      <c r="BE68" s="1122">
        <v>2066</v>
      </c>
      <c r="BH68" s="1069" t="s">
        <v>1714</v>
      </c>
      <c r="BJ68" s="1069" t="s">
        <v>1715</v>
      </c>
      <c r="BL68" s="1069" t="s">
        <v>1716</v>
      </c>
      <c r="BN68" s="1069" t="s">
        <v>1717</v>
      </c>
    </row>
    <row r="69" spans="1:1 52:66" ht="11.25" customHeight="1">
      <c r="A69" s="1076" t="s">
        <v>1718</v>
      </c>
      <c r="AZ69" s="1122" t="s">
        <v>1281</v>
      </c>
      <c r="BE69" s="1122">
        <v>2067</v>
      </c>
      <c r="BH69" s="1070" t="s">
        <v>1719</v>
      </c>
      <c s="1119" t="s">
        <v>109</v>
      </c>
      <c s="1070" t="s">
        <v>1720</v>
      </c>
      <c s="1119" t="s">
        <v>109</v>
      </c>
      <c s="1070" t="s">
        <v>1721</v>
      </c>
      <c s="1072" t="s">
        <v>109</v>
      </c>
      <c s="1070" t="s">
        <v>1722</v>
      </c>
    </row>
    <row r="70" spans="1:1 52:66" ht="11.25" customHeight="1">
      <c r="A70" s="1076" t="s">
        <v>1723</v>
      </c>
      <c r="AZ70" s="1122" t="s">
        <v>1313</v>
      </c>
      <c r="BE70" s="1122">
        <v>2068</v>
      </c>
      <c r="BH70" s="1070" t="s">
        <v>1724</v>
      </c>
      <c r="BJ70" s="1070" t="s">
        <v>1725</v>
      </c>
      <c r="BL70" s="1070" t="s">
        <v>1726</v>
      </c>
      <c r="BN70" s="1070" t="s">
        <v>1727</v>
      </c>
    </row>
    <row r="71" spans="1:1 52:66" ht="11.25" customHeight="1">
      <c r="A71" s="1076" t="s">
        <v>1728</v>
      </c>
      <c r="AZ71" s="1122" t="s">
        <v>1315</v>
      </c>
      <c r="BE71" s="1122">
        <v>2069</v>
      </c>
      <c r="BH71" s="1070" t="s">
        <v>1729</v>
      </c>
      <c s="1119" t="s">
        <v>89</v>
      </c>
      <c s="1070" t="s">
        <v>1730</v>
      </c>
      <c s="1119" t="s">
        <v>89</v>
      </c>
      <c s="1070" t="s">
        <v>1731</v>
      </c>
      <c s="1072" t="s">
        <v>89</v>
      </c>
      <c s="1070" t="s">
        <v>1732</v>
      </c>
    </row>
    <row r="72" spans="1:1 52:66" ht="11.25" customHeight="1">
      <c r="A72" s="1076" t="s">
        <v>1733</v>
      </c>
      <c r="AZ72" s="1122" t="s">
        <v>19</v>
      </c>
      <c r="BE72" s="1122">
        <v>2070</v>
      </c>
      <c r="BH72" s="1070" t="s">
        <v>1734</v>
      </c>
      <c r="BJ72" s="1070" t="s">
        <v>1734</v>
      </c>
      <c r="BL72" s="1070" t="s">
        <v>1734</v>
      </c>
      <c r="BN72" s="1070" t="s">
        <v>1735</v>
      </c>
    </row>
    <row r="73" spans="1:1 60:66" ht="11.25" customHeight="1">
      <c r="A73" s="1076" t="s">
        <v>1736</v>
      </c>
      <c r="BH73" s="1070" t="s">
        <v>1737</v>
      </c>
      <c s="1119" t="s">
        <v>111</v>
      </c>
      <c s="1070" t="s">
        <v>1738</v>
      </c>
      <c s="1119" t="s">
        <v>111</v>
      </c>
      <c s="1070" t="s">
        <v>1739</v>
      </c>
      <c s="1072" t="s">
        <v>111</v>
      </c>
      <c s="1070" t="s">
        <v>1740</v>
      </c>
    </row>
    <row r="74" spans="1:1 60:66" ht="11.25" customHeight="1">
      <c r="A74" s="1076" t="s">
        <v>1741</v>
      </c>
      <c r="BH74" s="1070" t="s">
        <v>1742</v>
      </c>
      <c r="BJ74" s="1070" t="s">
        <v>1743</v>
      </c>
      <c r="BL74" s="1070" t="s">
        <v>1744</v>
      </c>
      <c r="BN74" s="1070" t="s">
        <v>1745</v>
      </c>
    </row>
    <row r="75" spans="1:1 52:64" ht="11.25" customHeight="1">
      <c r="A75" s="1076" t="s">
        <v>1746</v>
      </c>
      <c r="AZ75" s="1069" t="s">
        <v>1747</v>
      </c>
      <c r="BH75" s="1070" t="s">
        <v>1748</v>
      </c>
      <c r="BJ75" s="1070" t="s">
        <v>1748</v>
      </c>
      <c r="BL75" s="1070" t="s">
        <v>1748</v>
      </c>
    </row>
    <row r="76" spans="1:1 52:64" ht="11.25" customHeight="1">
      <c r="A76" s="1076" t="s">
        <v>1749</v>
      </c>
      <c r="AZ76" s="1122" t="s">
        <v>1228</v>
      </c>
      <c r="BH76" s="1070" t="s">
        <v>1750</v>
      </c>
      <c r="BJ76" s="1070" t="s">
        <v>1751</v>
      </c>
      <c r="BL76" s="1070" t="s">
        <v>1752</v>
      </c>
    </row>
    <row r="77" spans="1:1 52:52" ht="11.25" customHeight="1">
      <c r="A77" s="1076" t="s">
        <v>1753</v>
      </c>
      <c r="AZ77" s="1122" t="s">
        <v>1256</v>
      </c>
    </row>
    <row r="78" spans="1:1 52:52" ht="11.25" customHeight="1">
      <c r="A78" s="1076" t="s">
        <v>1754</v>
      </c>
      <c r="AZ78" s="1122" t="s">
        <v>1288</v>
      </c>
    </row>
    <row r="79" spans="1:1 52:64" ht="11.25" customHeight="1">
      <c r="A79" s="1076" t="s">
        <v>1755</v>
      </c>
      <c r="AZ79" s="1122" t="s">
        <v>1319</v>
      </c>
      <c r="BH79" s="1069" t="s">
        <v>1756</v>
      </c>
      <c r="BJ79" s="1069" t="s">
        <v>1757</v>
      </c>
      <c r="BL79" s="1069" t="s">
        <v>1758</v>
      </c>
    </row>
    <row r="80" spans="1:1 52:64" ht="11.25" customHeight="1">
      <c r="A80" s="1076" t="s">
        <v>1759</v>
      </c>
      <c r="AZ80" s="1122" t="s">
        <v>1340</v>
      </c>
      <c r="BH80" s="1070" t="s">
        <v>1760</v>
      </c>
      <c r="BJ80" s="1070" t="s">
        <v>1761</v>
      </c>
      <c r="BL80" s="1070" t="s">
        <v>1762</v>
      </c>
    </row>
    <row r="81" spans="1:1 52:64" ht="11.25" customHeight="1">
      <c r="A81" s="1076" t="s">
        <v>1763</v>
      </c>
      <c r="AZ81" s="1122" t="s">
        <v>1357</v>
      </c>
      <c r="BH81" s="1070" t="s">
        <v>1764</v>
      </c>
      <c r="BJ81" s="1070" t="s">
        <v>1765</v>
      </c>
      <c r="BL81" s="1070" t="s">
        <v>1766</v>
      </c>
    </row>
    <row r="82" spans="1:1 52:64" ht="11.25" customHeight="1">
      <c r="A82" s="1076" t="s">
        <v>1767</v>
      </c>
      <c r="AZ82" s="1122" t="s">
        <v>1372</v>
      </c>
      <c r="BH82" s="1070" t="s">
        <v>1768</v>
      </c>
      <c r="BJ82" s="1070" t="s">
        <v>1769</v>
      </c>
      <c r="BL82" s="1070" t="s">
        <v>1770</v>
      </c>
    </row>
    <row r="83" spans="1:1 60:64" ht="11.25" customHeight="1">
      <c r="A83" s="1076" t="s">
        <v>1771</v>
      </c>
      <c r="BH83" s="1070" t="s">
        <v>1772</v>
      </c>
      <c r="BJ83" s="1070" t="s">
        <v>1773</v>
      </c>
      <c r="BL83" s="1070" t="s">
        <v>1774</v>
      </c>
    </row>
    <row r="84" spans="1:1 52:52" ht="11.25" customHeight="1">
      <c r="A84" s="1076" t="s">
        <v>1775</v>
      </c>
      <c r="AZ84" s="1069" t="s">
        <v>1776</v>
      </c>
    </row>
    <row r="85" spans="1:1 52:52" ht="11.25" customHeight="1">
      <c r="A85" s="1872" t="s">
        <v>1777</v>
      </c>
      <c r="AZ85" s="1122" t="s">
        <v>1778</v>
      </c>
    </row>
    <row r="86" spans="1:1 52:64" ht="11.25" customHeight="1">
      <c r="A86" s="1076" t="s">
        <v>1779</v>
      </c>
      <c r="AZ86" s="1122" t="s">
        <v>1780</v>
      </c>
      <c r="BH86" s="1069" t="s">
        <v>1781</v>
      </c>
      <c r="BJ86" s="1069" t="s">
        <v>1782</v>
      </c>
      <c r="BL86" s="1069" t="s">
        <v>1783</v>
      </c>
    </row>
    <row r="87" spans="1:1 52:64" ht="11.25" customHeight="1">
      <c r="A87" s="1076" t="s">
        <v>1784</v>
      </c>
      <c r="AZ87" s="1122" t="s">
        <v>1785</v>
      </c>
      <c r="BH87" s="1070" t="s">
        <v>1786</v>
      </c>
      <c r="BJ87" s="1070" t="s">
        <v>1787</v>
      </c>
      <c r="BL87" s="1070" t="s">
        <v>1788</v>
      </c>
    </row>
    <row r="88" spans="1:1 52:64" ht="11.25" customHeight="1">
      <c r="A88" s="1076" t="s">
        <v>1789</v>
      </c>
      <c r="AZ88" s="1608"/>
      <c r="BH88" s="1070" t="s">
        <v>1790</v>
      </c>
      <c r="BJ88" s="1070" t="s">
        <v>1791</v>
      </c>
      <c r="BL88" s="1070" t="s">
        <v>1792</v>
      </c>
    </row>
    <row r="89" spans="1:1 52:52" ht="11.25" customHeight="1">
      <c r="A89" s="1076" t="s">
        <v>1793</v>
      </c>
      <c r="AZ89" s="1069" t="s">
        <v>1794</v>
      </c>
    </row>
    <row r="90" spans="1:1 52:52" ht="11.25" customHeight="1">
      <c r="A90" s="1076" t="s">
        <v>1795</v>
      </c>
      <c r="AZ90" s="1122" t="s">
        <v>1019</v>
      </c>
    </row>
    <row r="91" spans="1:1 52:64" ht="11.25" customHeight="1">
      <c r="A91" s="1076" t="s">
        <v>1796</v>
      </c>
      <c r="AZ91" s="1122" t="s">
        <v>1055</v>
      </c>
      <c r="BH91" s="1069" t="s">
        <v>1797</v>
      </c>
      <c r="BJ91" s="1069" t="s">
        <v>1798</v>
      </c>
      <c r="BL91" s="1069" t="s">
        <v>1799</v>
      </c>
    </row>
    <row r="92" spans="52:64" ht="11.25" customHeight="1">
      <c r="AZ92" s="1122" t="s">
        <v>1800</v>
      </c>
      <c r="BH92" s="1070" t="s">
        <v>1801</v>
      </c>
      <c r="BJ92" s="1070" t="s">
        <v>1802</v>
      </c>
      <c r="BL92" s="1070" t="s">
        <v>1803</v>
      </c>
    </row>
    <row r="93" spans="52:64" ht="11.25" customHeight="1">
      <c r="AZ93" s="1122" t="s">
        <v>1804</v>
      </c>
      <c r="BH93" s="1070" t="s">
        <v>1805</v>
      </c>
      <c r="BJ93" s="1070" t="s">
        <v>1806</v>
      </c>
      <c r="BL93" s="1070" t="s">
        <v>1807</v>
      </c>
    </row>
    <row r="94" spans="52:52" ht="11.25" customHeight="1">
      <c r="AZ94" s="1122" t="s">
        <v>1808</v>
      </c>
    </row>
    <row r="96" spans="52:66" ht="11.25" customHeight="1">
      <c r="AZ96" s="1069" t="s">
        <v>1809</v>
      </c>
      <c r="BH96" s="1069" t="s">
        <v>1810</v>
      </c>
      <c r="BJ96" s="1069" t="s">
        <v>1811</v>
      </c>
      <c r="BL96" s="1069" t="s">
        <v>1812</v>
      </c>
      <c r="BN96" s="1069" t="s">
        <v>1813</v>
      </c>
    </row>
    <row r="97" spans="52:66" ht="11.25" customHeight="1">
      <c r="AZ97" s="1903" t="s">
        <v>1814</v>
      </c>
      <c s="1904" t="s">
        <v>1815</v>
      </c>
      <c r="BH97" s="1070" t="s">
        <v>1816</v>
      </c>
      <c r="BJ97" s="1070" t="s">
        <v>1817</v>
      </c>
      <c r="BL97" s="1070" t="s">
        <v>1818</v>
      </c>
      <c r="BN97" s="1070" t="s">
        <v>1819</v>
      </c>
    </row>
    <row r="98" spans="52:66" ht="11.25" customHeight="1">
      <c r="AZ98" s="1903" t="s">
        <v>1820</v>
      </c>
      <c s="1904" t="s">
        <v>1821</v>
      </c>
      <c r="BH98" s="1070" t="s">
        <v>1822</v>
      </c>
      <c r="BJ98" s="1070" t="s">
        <v>1823</v>
      </c>
      <c r="BL98" s="1070" t="s">
        <v>1824</v>
      </c>
      <c r="BN98" s="1070" t="s">
        <v>1825</v>
      </c>
    </row>
    <row r="99" spans="52:66" ht="22.5" customHeight="1">
      <c r="AZ99" s="1903" t="s">
        <v>1826</v>
      </c>
      <c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1827</v>
      </c>
      <c r="BJ99" s="1070" t="s">
        <v>1828</v>
      </c>
      <c r="BL99" s="1070" t="s">
        <v>1829</v>
      </c>
      <c r="BN99" s="1070" t="s">
        <v>1830</v>
      </c>
    </row>
    <row r="100" spans="52:66" ht="22.5" customHeight="1">
      <c r="AZ100" s="1903" t="s">
        <v>1831</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1418</v>
      </c>
      <c r="BL100" s="1070" t="s">
        <v>1418</v>
      </c>
      <c r="BN100" s="1070" t="s">
        <v>1832</v>
      </c>
    </row>
    <row r="101" spans="52:66" ht="22.5" customHeight="1">
      <c r="AZ101" s="1903" t="s">
        <v>1833</v>
      </c>
      <c s="1904" t="s">
        <v>1834</v>
      </c>
      <c r="BN101" s="1070" t="s">
        <v>1835</v>
      </c>
    </row>
    <row r="102" spans="52:66" ht="22.5" customHeight="1">
      <c r="AZ102" s="1903" t="s">
        <v>1836</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1837</v>
      </c>
    </row>
    <row r="103" spans="52:66" ht="11.25" customHeight="1">
      <c r="AZ103" s="1903" t="s">
        <v>1838</v>
      </c>
      <c s="1904" t="s">
        <v>1839</v>
      </c>
      <c r="BN103" s="1070" t="s">
        <v>1840</v>
      </c>
    </row>
    <row r="104" spans="66:66" ht="11.25" customHeight="1">
      <c r="BN104" s="1070" t="s">
        <v>1841</v>
      </c>
    </row>
    <row r="105" spans="52:52" ht="11.25" customHeight="1">
      <c r="AZ105" s="1694" t="s">
        <v>1842</v>
      </c>
    </row>
    <row r="106" spans="52:52" ht="11.25" customHeight="1">
      <c r="AZ106" s="1122" t="s">
        <v>1843</v>
      </c>
    </row>
    <row r="107" spans="52:66" ht="11.25" customHeight="1">
      <c r="AZ107" s="1122" t="s">
        <v>1844</v>
      </c>
      <c r="BH107" s="1069" t="s">
        <v>1845</v>
      </c>
      <c r="BJ107" s="1069" t="s">
        <v>1846</v>
      </c>
      <c r="BL107" s="1069" t="s">
        <v>1847</v>
      </c>
      <c r="BN107" s="1069" t="s">
        <v>1848</v>
      </c>
    </row>
    <row r="108" spans="52:66" ht="11.25" customHeight="1">
      <c r="AZ108" s="1122" t="s">
        <v>571</v>
      </c>
      <c r="BH108" s="1070" t="s">
        <v>1849</v>
      </c>
      <c r="BJ108" s="1070" t="s">
        <v>1850</v>
      </c>
      <c r="BL108" s="1070" t="s">
        <v>1504</v>
      </c>
      <c r="BN108" s="1070" t="s">
        <v>1851</v>
      </c>
    </row>
    <row r="109" spans="60:60" ht="11.25" customHeight="1">
      <c r="BH109" s="1070" t="s">
        <v>1852</v>
      </c>
    </row>
    <row r="110" spans="52:60" ht="11.25" customHeight="1">
      <c r="AZ110" s="1694" t="s">
        <v>1853</v>
      </c>
      <c r="BH110" s="1070" t="s">
        <v>1852</v>
      </c>
    </row>
    <row r="111" spans="52:53" ht="11.25" customHeight="1">
      <c r="AZ111" s="1903" t="s">
        <v>1814</v>
      </c>
      <c s="1904" t="s">
        <v>1815</v>
      </c>
    </row>
    <row r="112" spans="52:53" ht="11.25" customHeight="1">
      <c r="AZ112" s="1903" t="s">
        <v>1820</v>
      </c>
      <c s="1904" t="s">
        <v>1821</v>
      </c>
    </row>
    <row r="113" spans="52:53" ht="22.5" customHeight="1">
      <c r="AZ113" s="1903" t="s">
        <v>1826</v>
      </c>
      <c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3" t="s">
        <v>1831</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1854</v>
      </c>
    </row>
    <row r="115" spans="52:60" ht="22.5" customHeight="1">
      <c r="AZ115" s="1903" t="s">
        <v>1836</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1215</v>
      </c>
    </row>
    <row r="116" spans="52:60" ht="11.25" customHeight="1">
      <c r="AZ116" s="1903" t="s">
        <v>1838</v>
      </c>
      <c s="1904" t="s">
        <v>1839</v>
      </c>
      <c r="BH116" s="1070" t="s">
        <v>1242</v>
      </c>
    </row>
    <row r="117" spans="60:60" ht="11.25" customHeight="1">
      <c r="BH117" s="1070" t="s">
        <v>1277</v>
      </c>
    </row>
    <row r="118" spans="60:60" ht="11.25" customHeight="1">
      <c r="BH118" s="1070"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A5610D9-B2FB-F8E4-3345-0.766DEF2B}"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3" hidden="1" customWidth="1"/>
    <col min="3" max="3" width="3" style="457" customWidth="1"/>
    <col min="4" max="4" width="6" style="458" customWidth="1"/>
    <col min="5" max="5" width="52" style="457" customWidth="1"/>
    <col min="6" max="6" width="48" style="457" customWidth="1"/>
    <col min="7" max="7" width="93" style="457" customWidth="1"/>
    <col min="8" max="8" width="8" style="457" customWidth="1"/>
    <col min="9" max="9" width="64" style="457" customWidth="1"/>
    <col min="10" max="10" width="9.14285714285714" style="457" hidden="1"/>
  </cols>
  <sheetData>
    <row r="1" spans="1:10" ht="11.25" customHeight="1" hidden="1">
      <c r="A1" s="503" t="s">
        <v>299</v>
      </c>
      <c r="J1" s="457" t="s">
        <v>14</v>
      </c>
    </row>
    <row r="2" spans="1:10" ht="22.5" customHeight="1" hidden="1">
      <c r="A2" s="504"/>
      <c s="504"/>
      <c s="1732" t="s">
        <v>689</v>
      </c>
      <c s="1522"/>
      <c s="1528"/>
      <c s="1551"/>
      <c r="H2" s="477"/>
      <c r="J2" s="457">
        <v>0</v>
      </c>
    </row>
    <row r="3" spans="10:10" ht="11.25" customHeight="1" hidden="1">
      <c r="J3" s="457">
        <v>0</v>
      </c>
    </row>
    <row r="4" spans="1:10" ht="11.55" customHeight="1">
      <c r="A4" s="1552"/>
      <c s="1552"/>
      <c r="J4" s="457">
        <v>11</v>
      </c>
    </row>
    <row r="5" spans="4:10" ht="27.3" customHeight="1">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1"/>
      <c s="2242"/>
      <c r="I5" s="717"/>
      <c s="457">
        <v>26</v>
      </c>
    </row>
    <row r="6" spans="4:10" ht="18" customHeight="1">
      <c r="D6" s="2178" t="str">
        <f>IF(region_name=0,"Не определено",region_name)</f>
        <v>Краснодарский край</v>
      </c>
      <c s="2178"/>
      <c s="2178"/>
      <c r="I6" s="717"/>
      <c s="457">
        <v>17</v>
      </c>
    </row>
    <row r="7" spans="1:10" s="479" customFormat="1" ht="11.55" customHeight="1">
      <c r="A7" s="503"/>
      <c s="503"/>
      <c r="D7" s="716"/>
      <c s="716"/>
      <c s="754"/>
      <c s="716"/>
      <c r="J7" s="479">
        <v>11</v>
      </c>
    </row>
    <row r="8" spans="1:10" ht="11.25" customHeight="1" hidden="1">
      <c r="A8" s="504"/>
      <c s="504"/>
      <c s="459"/>
      <c s="465"/>
      <c s="2209"/>
      <c s="2209"/>
      <c r="J8" s="457">
        <v>0</v>
      </c>
    </row>
    <row r="9" spans="1:10" ht="11.55" customHeight="1">
      <c r="A9" s="504"/>
      <c s="504"/>
      <c s="459"/>
      <c s="2206" t="s">
        <v>300</v>
      </c>
      <c s="2207"/>
      <c s="2207"/>
      <c s="2210" t="s">
        <v>301</v>
      </c>
      <c r="J9" s="457">
        <v>11</v>
      </c>
    </row>
    <row r="10" spans="1:10" ht="11.55" customHeight="1">
      <c r="A10" s="504"/>
      <c s="504"/>
      <c s="459"/>
      <c s="1476" t="s">
        <v>87</v>
      </c>
      <c s="1478" t="s">
        <v>302</v>
      </c>
      <c s="1478" t="s">
        <v>303</v>
      </c>
      <c s="2211"/>
      <c r="J10" s="457">
        <v>11</v>
      </c>
    </row>
    <row r="11" spans="1:10" ht="1.05" customHeight="1">
      <c r="A11" s="504"/>
      <c s="504"/>
      <c s="459"/>
      <c s="466"/>
      <c s="466"/>
      <c s="466"/>
      <c s="466"/>
      <c r="J11" s="457">
        <v>1</v>
      </c>
    </row>
    <row r="12" spans="1:10" ht="24" customHeight="1">
      <c r="A12" s="504"/>
      <c s="504"/>
      <c s="459"/>
      <c s="1522">
        <v>1</v>
      </c>
      <c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10" t="str">
        <f>IF(org="","",org)</f>
        <v>ГУП КК "Кубаньводкомплекс"</v>
      </c>
      <c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5"/>
      <c r="J12" s="457">
        <v>23</v>
      </c>
    </row>
    <row r="13" spans="1:10" ht="19.95" customHeight="1">
      <c r="A13" s="504"/>
      <c s="504"/>
      <c s="459"/>
      <c s="1522">
        <v>2</v>
      </c>
      <c s="1529" t="s">
        <v>1855</v>
      </c>
      <c s="1523" t="s">
        <v>306</v>
      </c>
      <c s="476"/>
      <c s="1535"/>
      <c r="J13" s="457">
        <v>19</v>
      </c>
    </row>
    <row r="14" spans="1:10" ht="19.95" customHeight="1">
      <c r="A14" s="504"/>
      <c s="504"/>
      <c s="459"/>
      <c s="1525" t="s">
        <v>709</v>
      </c>
      <c s="1526" t="s">
        <v>1856</v>
      </c>
      <c s="1528"/>
      <c s="1527" t="s">
        <v>1857</v>
      </c>
      <c s="1535"/>
      <c r="J14" s="457">
        <v>19</v>
      </c>
    </row>
    <row r="15" spans="1:10" ht="19.95" customHeight="1">
      <c r="A15" s="504"/>
      <c s="504"/>
      <c s="459"/>
      <c s="1525" t="s">
        <v>307</v>
      </c>
      <c s="1526" t="s">
        <v>1858</v>
      </c>
      <c s="1528"/>
      <c s="1527" t="s">
        <v>1859</v>
      </c>
      <c s="1535"/>
      <c r="J15" s="457">
        <v>19</v>
      </c>
    </row>
    <row r="16" spans="1:10" ht="24" customHeight="1">
      <c r="A16" s="504"/>
      <c s="504"/>
      <c s="459"/>
      <c s="1525" t="s">
        <v>310</v>
      </c>
      <c s="1524" t="s">
        <v>1860</v>
      </c>
      <c s="1533"/>
      <c s="476" t="s">
        <v>1861</v>
      </c>
      <c s="1535"/>
      <c r="J16" s="457">
        <v>23</v>
      </c>
    </row>
    <row r="17" spans="1:10" ht="48.3" customHeight="1">
      <c r="A17" s="504"/>
      <c s="504"/>
      <c s="459"/>
      <c s="1522">
        <v>3</v>
      </c>
      <c s="1529" t="s">
        <v>1862</v>
      </c>
      <c s="1528"/>
      <c s="476" t="s">
        <v>1863</v>
      </c>
      <c s="1535"/>
      <c r="J17" s="457">
        <v>46</v>
      </c>
    </row>
    <row r="18" spans="1:10" ht="48.3" customHeight="1">
      <c r="A18" s="1477">
        <v>1</v>
      </c>
      <c s="504"/>
      <c s="1479"/>
      <c s="1522" t="s">
        <v>90</v>
      </c>
      <c s="1529" t="s">
        <v>1864</v>
      </c>
      <c s="1528"/>
      <c s="476" t="s">
        <v>1863</v>
      </c>
      <c s="1535"/>
      <c s="854"/>
      <c s="457">
        <v>46</v>
      </c>
    </row>
    <row r="19" spans="1:10" ht="23.25" customHeight="1">
      <c r="A19" s="504"/>
      <c s="504"/>
      <c s="459"/>
      <c s="1522" t="s">
        <v>111</v>
      </c>
      <c s="1529" t="s">
        <v>1865</v>
      </c>
      <c s="1523" t="s">
        <v>306</v>
      </c>
      <c s="2473" t="s">
        <v>1866</v>
      </c>
      <c s="477"/>
      <c r="J19" s="457">
        <v>22</v>
      </c>
    </row>
    <row r="20" spans="1:10" s="1532" customFormat="1" ht="5.25" customHeight="1" hidden="1">
      <c r="A20" s="504"/>
      <c s="504"/>
      <c s="1531"/>
      <c s="1530" t="s">
        <v>1117</v>
      </c>
      <c s="1016"/>
      <c s="1015"/>
      <c s="2474"/>
      <c r="J20" s="1532">
        <v>0</v>
      </c>
    </row>
    <row r="21" spans="1:10" ht="15.75" customHeight="1">
      <c r="A21" s="504"/>
      <c s="504"/>
      <c s="459"/>
      <c s="469"/>
      <c s="417" t="s">
        <v>339</v>
      </c>
      <c s="471"/>
      <c s="2475"/>
      <c s="1535"/>
      <c r="J21" s="457">
        <v>15</v>
      </c>
    </row>
    <row r="22" spans="1:10" s="503" customFormat="1" ht="26.25" customHeight="1">
      <c r="A22" s="504"/>
      <c s="504"/>
      <c s="504"/>
      <c s="1522" t="s">
        <v>91</v>
      </c>
      <c s="476" t="s">
        <v>1867</v>
      </c>
      <c s="1528"/>
      <c s="476" t="s">
        <v>1868</v>
      </c>
      <c s="1534"/>
      <c r="J22" s="503">
        <v>25</v>
      </c>
    </row>
    <row r="23" spans="1:10" s="503" customFormat="1" ht="19.95" customHeight="1">
      <c r="A23" s="504"/>
      <c s="504"/>
      <c s="504"/>
      <c s="1522" t="s">
        <v>92</v>
      </c>
      <c s="1529" t="s">
        <v>1869</v>
      </c>
      <c s="1533"/>
      <c s="476" t="s">
        <v>1870</v>
      </c>
      <c s="1534"/>
      <c r="J23" s="503">
        <v>19</v>
      </c>
    </row>
    <row r="24" spans="1:10" s="503" customFormat="1" ht="144" customHeight="1" hidden="1">
      <c r="A24" s="504"/>
      <c s="504"/>
      <c s="504"/>
      <c s="1522" t="s">
        <v>112</v>
      </c>
      <c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900"/>
      <c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4"/>
      <c r="J24" s="503">
        <v>0</v>
      </c>
    </row>
    <row r="25" spans="1:10" ht="11.25" customHeight="1" hidden="1">
      <c r="A25" s="503" t="s">
        <v>81</v>
      </c>
      <c s="503">
        <v>0</v>
      </c>
      <c s="457">
        <v>3</v>
      </c>
      <c s="458">
        <v>6</v>
      </c>
      <c s="457">
        <v>52</v>
      </c>
      <c s="457">
        <v>48</v>
      </c>
      <c s="457">
        <v>93</v>
      </c>
      <c s="457">
        <v>8</v>
      </c>
      <c s="457">
        <v>64</v>
      </c>
      <c s="457">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443FF25-C99F-31B7-16DB-0.0DF1220F}"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46" style="1637" customWidth="1"/>
    <col min="7" max="8" width="16" style="1637" customWidth="1"/>
    <col min="9" max="9" width="35" style="1637" customWidth="1"/>
    <col min="10" max="10" width="89" style="1637" customWidth="1"/>
    <col min="11" max="11" width="3" style="1626" customWidth="1"/>
    <col min="12" max="14" width="8" style="1626" customWidth="1"/>
    <col min="15" max="15" width="25" style="1626" customWidth="1"/>
    <col min="16" max="16" width="14" style="1626" customWidth="1"/>
    <col min="17" max="20" width="8" style="227" customWidth="1"/>
    <col min="21" max="254" width="8" style="1637" customWidth="1"/>
    <col min="255" max="255" width="9.14285714285714" style="1637" hidden="1"/>
  </cols>
  <sheetData>
    <row r="1" spans="6:8 255:255" ht="22.5" customHeight="1" hidden="1">
      <c r="F1" s="1633" t="s">
        <v>1871</v>
      </c>
      <c s="1633" t="s">
        <v>48</v>
      </c>
      <c s="1633" t="s">
        <v>50</v>
      </c>
      <c r="IU1" s="1157" t="s">
        <v>14</v>
      </c>
    </row>
    <row r="2" spans="1:81 255:255" s="1852" customFormat="1" ht="22.5" customHeight="1" hidden="1">
      <c r="A2" s="833"/>
      <c s="1162">
        <v>1</v>
      </c>
      <c s="1162"/>
      <c s="1930" t="s">
        <v>689</v>
      </c>
      <c s="1486"/>
      <c s="1493"/>
      <c s="1493"/>
      <c s="1493"/>
      <c s="1986"/>
      <c s="1987"/>
      <c s="1537"/>
      <c s="513"/>
      <c s="513"/>
      <c s="502" t="str">
        <f t="array" ref="N2">IF(ISERROR(MATCH(MID(O2,1,250),MID(note_ter,1,250),0)),"n","y")</f>
        <v>n</v>
      </c>
      <c s="513"/>
      <c s="502" t="str">
        <f>G2&amp;"("&amp;J2&amp;")"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2" s="425">
        <v>0</v>
      </c>
    </row>
    <row r="3" spans="1:255" s="1644" customFormat="1" ht="4.2" customHeight="1">
      <c r="A3" s="498"/>
      <c r="D3" s="496"/>
      <c r="F3" s="249" t="s">
        <v>82</v>
      </c>
      <c s="496" t="s">
        <v>83</v>
      </c>
      <c s="496"/>
      <c s="496"/>
      <c s="229" t="s">
        <v>84</v>
      </c>
      <c s="249" t="s">
        <v>82</v>
      </c>
      <c s="249"/>
      <c s="249"/>
      <c s="249"/>
      <c s="250"/>
      <c s="249"/>
      <c s="249"/>
      <c s="249"/>
      <c s="249"/>
      <c s="24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513">
        <v>4</v>
      </c>
    </row>
    <row r="4" spans="1:20 255:255" s="1821" customFormat="1" ht="14.7" customHeight="1">
      <c r="A4" s="1157"/>
      <c s="1162"/>
      <c s="1157"/>
      <c s="1497"/>
      <c s="511"/>
      <c s="1644"/>
      <c s="511"/>
      <c s="511"/>
      <c s="511"/>
      <c s="168"/>
      <c s="249"/>
      <c s="502"/>
      <c s="502"/>
      <c s="502"/>
      <c s="228"/>
      <c s="502"/>
      <c s="227"/>
      <c s="227"/>
      <c s="227"/>
      <c s="227"/>
      <c r="IU4" s="509">
        <v>14</v>
      </c>
    </row>
    <row r="5" spans="1:20 255:255" s="1821" customFormat="1" ht="27.3" customHeight="1">
      <c r="A5" s="1157"/>
      <c s="1162"/>
      <c s="1157"/>
      <c s="1497"/>
      <c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2"/>
      <c s="2102"/>
      <c s="2102"/>
      <c s="2102"/>
      <c s="2102"/>
      <c s="249"/>
      <c s="502"/>
      <c s="502"/>
      <c s="502"/>
      <c s="228"/>
      <c s="502"/>
      <c s="227"/>
      <c s="227"/>
      <c s="227"/>
      <c s="227"/>
      <c r="IU5" s="509">
        <v>26</v>
      </c>
    </row>
    <row r="6" spans="1:20 255:255" s="1821" customFormat="1" ht="14.7" customHeight="1">
      <c r="A6" s="1157"/>
      <c s="1162"/>
      <c s="1157"/>
      <c s="1497"/>
      <c s="511"/>
      <c s="169"/>
      <c s="169"/>
      <c s="169"/>
      <c s="169"/>
      <c s="170"/>
      <c s="502"/>
      <c s="502"/>
      <c s="502"/>
      <c s="502"/>
      <c s="228"/>
      <c s="502"/>
      <c s="227"/>
      <c s="227"/>
      <c s="227"/>
      <c s="227"/>
      <c r="IU6" s="509">
        <v>14</v>
      </c>
    </row>
    <row r="7" spans="1:20 255:255" s="1821" customFormat="1" ht="14.7" customHeight="1">
      <c r="A7" s="1157"/>
      <c s="1162"/>
      <c s="1157"/>
      <c s="1497"/>
      <c s="2103" t="s">
        <v>300</v>
      </c>
      <c s="2104"/>
      <c s="2104"/>
      <c s="2104"/>
      <c s="2104"/>
      <c s="2476" t="s">
        <v>301</v>
      </c>
      <c s="502"/>
      <c s="502"/>
      <c s="502"/>
      <c s="502"/>
      <c s="228"/>
      <c s="502"/>
      <c s="227"/>
      <c s="227"/>
      <c s="227"/>
      <c s="227"/>
      <c r="IU7" s="509">
        <v>14</v>
      </c>
    </row>
    <row r="8" spans="1:20 255:255" s="1821" customFormat="1" ht="21" customHeight="1">
      <c r="A8" s="1157"/>
      <c s="1162"/>
      <c s="1157"/>
      <c s="1497"/>
      <c s="1550" t="s">
        <v>87</v>
      </c>
      <c s="1542" t="s">
        <v>1871</v>
      </c>
      <c s="1542" t="s">
        <v>48</v>
      </c>
      <c s="1542" t="s">
        <v>50</v>
      </c>
      <c s="1542" t="s">
        <v>1872</v>
      </c>
      <c s="2477"/>
      <c s="502"/>
      <c s="502"/>
      <c s="502"/>
      <c s="502"/>
      <c s="228"/>
      <c s="502"/>
      <c s="227"/>
      <c s="227"/>
      <c s="227"/>
      <c s="227"/>
      <c r="IU8" s="509">
        <v>20</v>
      </c>
    </row>
    <row r="9" spans="1:81 255:255" s="1852" customFormat="1" ht="23.25" customHeight="1">
      <c r="A9" s="1633"/>
      <c s="1162">
        <v>1</v>
      </c>
      <c s="1162"/>
      <c s="803"/>
      <c s="1486">
        <v>1</v>
      </c>
      <c s="1549"/>
      <c s="1493"/>
      <c s="1493"/>
      <c s="1540"/>
      <c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7"/>
      <c s="513"/>
      <c s="513"/>
      <c s="502" t="str">
        <f t="array" ref="N9">IF(ISERROR(MATCH(MID(O9,1,250),MID(note_ter,1,250),0)),"n","y")</f>
        <v>n</v>
      </c>
      <c s="513"/>
      <c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9" s="425">
        <v>22</v>
      </c>
    </row>
    <row r="10" spans="1:81 255:255" s="1852" customFormat="1" ht="15.75" customHeight="1">
      <c r="A10" s="1633"/>
      <c s="1162"/>
      <c s="414"/>
      <c s="803"/>
      <c s="1543"/>
      <c s="1502" t="s">
        <v>1873</v>
      </c>
      <c s="1544"/>
      <c s="1544"/>
      <c s="1901"/>
      <c s="2173"/>
      <c s="1538"/>
      <c s="513"/>
      <c s="513"/>
      <c s="513"/>
      <c s="502"/>
      <c s="513"/>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10" s="425">
        <v>15</v>
      </c>
    </row>
    <row r="11" spans="1:20 255:255" s="1821" customFormat="1" ht="22.05" customHeight="1">
      <c r="A11" s="1157"/>
      <c s="1162"/>
      <c s="1157"/>
      <c s="453"/>
      <c s="182"/>
      <c s="182"/>
      <c s="182"/>
      <c s="182"/>
      <c s="182"/>
      <c s="182"/>
      <c s="502"/>
      <c s="502"/>
      <c s="502"/>
      <c s="502"/>
      <c s="228"/>
      <c s="502"/>
      <c s="227"/>
      <c s="227"/>
      <c s="227"/>
      <c s="227"/>
      <c r="IU11" s="509">
        <v>21</v>
      </c>
    </row>
    <row r="12" spans="1:20 255:255" s="1821" customFormat="1" ht="14.7" customHeight="1">
      <c r="A12" s="1157"/>
      <c s="1162"/>
      <c s="1157"/>
      <c s="453"/>
      <c s="1157"/>
      <c s="1157"/>
      <c s="1157"/>
      <c s="1157"/>
      <c s="1157"/>
      <c s="1157"/>
      <c s="502"/>
      <c s="502"/>
      <c s="502"/>
      <c s="502"/>
      <c s="228"/>
      <c s="502"/>
      <c s="227"/>
      <c s="227"/>
      <c s="227"/>
      <c s="227"/>
      <c r="IU12" s="509">
        <v>14</v>
      </c>
    </row>
    <row r="13" spans="1:20 255:255" s="1821" customFormat="1" ht="1.05" customHeight="1">
      <c r="A13" s="1157"/>
      <c s="1162"/>
      <c s="1157"/>
      <c s="453"/>
      <c s="1157"/>
      <c s="1157"/>
      <c s="1157"/>
      <c s="1157"/>
      <c s="1157"/>
      <c s="1157"/>
      <c s="502"/>
      <c s="502"/>
      <c s="502"/>
      <c s="502"/>
      <c s="228"/>
      <c s="502"/>
      <c s="227"/>
      <c s="227"/>
      <c s="227"/>
      <c s="227"/>
      <c r="IU13" s="509">
        <v>1</v>
      </c>
    </row>
    <row r="14" spans="2:20 255:255" s="1066" customFormat="1" ht="10.5" customHeight="1">
      <c r="B14" s="836"/>
      <c r="D14" s="184"/>
      <c r="K14" s="502"/>
      <c s="502"/>
      <c s="502"/>
      <c s="502"/>
      <c s="228"/>
      <c s="502"/>
      <c s="227"/>
      <c s="227"/>
      <c s="227"/>
      <c s="227"/>
      <c r="IU14" s="183">
        <v>10</v>
      </c>
    </row>
    <row r="15" spans="2:20 255:255" s="1066" customFormat="1" ht="10.5" customHeight="1">
      <c r="B15" s="836"/>
      <c r="D15" s="184"/>
      <c r="K15" s="502"/>
      <c s="502"/>
      <c s="502"/>
      <c s="502"/>
      <c s="228"/>
      <c s="502"/>
      <c s="227"/>
      <c s="227"/>
      <c s="227"/>
      <c s="227"/>
      <c r="IU15" s="183">
        <v>10</v>
      </c>
    </row>
    <row r="16" spans="255:255" ht="14.7" customHeight="1">
      <c r="IU16" s="1157">
        <v>14</v>
      </c>
    </row>
    <row r="17" spans="255:255" ht="14.7" customHeight="1">
      <c r="IU17" s="1157">
        <v>14</v>
      </c>
    </row>
    <row r="18" spans="255:255" ht="14.7" customHeight="1">
      <c r="IU18" s="1157">
        <v>14</v>
      </c>
    </row>
    <row r="19" spans="7:9 255:255" ht="14.7" customHeight="1">
      <c r="G19" s="375"/>
      <c s="375"/>
      <c s="375"/>
      <c r="IU19" s="1157">
        <v>14</v>
      </c>
    </row>
    <row r="20" spans="255:255" ht="14.7" customHeight="1">
      <c r="IU20" s="1157">
        <v>14</v>
      </c>
    </row>
    <row r="21" spans="255:255" ht="14.7" customHeight="1">
      <c r="IU21" s="1157">
        <v>14</v>
      </c>
    </row>
    <row r="22" spans="255:255" ht="14.7" customHeight="1">
      <c r="IU22" s="1157">
        <v>14</v>
      </c>
    </row>
    <row r="23" spans="11:13 255:255" ht="14.7" customHeight="1">
      <c r="K23" s="1157"/>
      <c s="1157"/>
      <c s="1157"/>
      <c r="IU23" s="1157">
        <v>14</v>
      </c>
    </row>
    <row r="24" spans="1:255" ht="22.5" customHeight="1" hidden="1">
      <c r="A24" s="1157" t="s">
        <v>81</v>
      </c>
      <c s="1162">
        <v>0</v>
      </c>
      <c s="1157">
        <v>0</v>
      </c>
      <c s="453">
        <v>3</v>
      </c>
      <c s="1157">
        <v>6</v>
      </c>
      <c s="1157">
        <v>46</v>
      </c>
      <c s="1157">
        <v>16</v>
      </c>
      <c s="1157">
        <v>16</v>
      </c>
      <c s="1157">
        <v>35</v>
      </c>
      <c s="1157">
        <v>89</v>
      </c>
      <c s="502">
        <v>3</v>
      </c>
      <c s="502">
        <v>8</v>
      </c>
      <c s="502">
        <v>8</v>
      </c>
      <c s="502">
        <v>8</v>
      </c>
      <c s="228">
        <v>25</v>
      </c>
      <c s="502">
        <v>14</v>
      </c>
      <c s="227">
        <v>8</v>
      </c>
      <c s="227">
        <v>8</v>
      </c>
      <c s="227">
        <v>8</v>
      </c>
      <c s="22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2 I9">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9C70E5C-A94A-180A-0FB1-0.C1D2EB05}"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16" style="1637" customWidth="1"/>
    <col min="8" max="8" width="12" style="1637" customWidth="1"/>
    <col min="9" max="9" width="32" style="1637" customWidth="1"/>
    <col min="10" max="11" width="41" style="1637" customWidth="1"/>
    <col min="12" max="12" width="89" style="1637" customWidth="1"/>
    <col min="13" max="13" width="3" style="1626" customWidth="1"/>
    <col min="14" max="16" width="8" style="1626" customWidth="1"/>
    <col min="17" max="17" width="25" style="1626" customWidth="1"/>
    <col min="18" max="18" width="14" style="1626" customWidth="1"/>
    <col min="19" max="22" width="8" style="227" customWidth="1"/>
    <col min="23" max="256" width="8" style="1637" customWidth="1"/>
    <col min="257" max="257" width="9.14285714285714" style="1637" hidden="1"/>
  </cols>
  <sheetData>
    <row r="1" spans="257:257" ht="22.5" customHeight="1" hidden="1">
      <c r="IW1" s="1157" t="s">
        <v>14</v>
      </c>
    </row>
    <row r="2" spans="1:83 257:257" s="1852" customFormat="1" ht="22.5" customHeight="1" hidden="1">
      <c r="A2" s="833"/>
      <c s="1162">
        <v>1</v>
      </c>
      <c s="1162"/>
      <c s="1930" t="s">
        <v>689</v>
      </c>
      <c s="1891"/>
      <c s="1894" t="str">
        <f>IF(ROIV_INFO_NAME="","",ROIV_INFO_NAME)</f>
        <v>ГУП КК "Кубаньводкомплекс"</v>
      </c>
      <c s="1919" t="s">
        <v>22</v>
      </c>
      <c s="1918"/>
      <c s="1540"/>
      <c s="820"/>
      <c s="820"/>
      <c s="230"/>
      <c s="1537">
        <f>MERGEVALUE(F2)</f>
      </c>
      <c s="513"/>
      <c s="513"/>
      <c s="502" t="str">
        <f t="array" ref="P2">IF(ISERROR(MATCH(MID(Q2,1,250),MID(note_ter,1,250),0)),"n","y")</f>
        <v>n</v>
      </c>
      <c s="513"/>
      <c s="502" t="str">
        <f>G2&amp;"("&amp;L2&amp;")"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2" s="425">
        <v>0</v>
      </c>
    </row>
    <row r="3" spans="1:257" s="1644" customFormat="1" ht="5.25" customHeight="1" hidden="1">
      <c r="A3" s="498"/>
      <c r="D3" s="496"/>
      <c r="F3" s="249" t="s">
        <v>82</v>
      </c>
      <c s="1737" t="s">
        <v>83</v>
      </c>
      <c s="496"/>
      <c s="496"/>
      <c s="496"/>
      <c s="496"/>
      <c s="229" t="s">
        <v>84</v>
      </c>
      <c s="249" t="s">
        <v>82</v>
      </c>
      <c s="249"/>
      <c s="249"/>
      <c s="249"/>
      <c s="250"/>
      <c s="249"/>
      <c s="249"/>
      <c s="249"/>
      <c s="249"/>
      <c s="24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513">
        <v>0</v>
      </c>
    </row>
    <row r="4" spans="1:22 257:257" s="1821" customFormat="1" ht="14.7" customHeight="1">
      <c r="A4" s="1157"/>
      <c s="1162"/>
      <c s="1157"/>
      <c s="1497"/>
      <c s="511"/>
      <c s="511"/>
      <c s="511"/>
      <c s="511"/>
      <c s="511"/>
      <c s="511"/>
      <c s="511"/>
      <c s="168"/>
      <c s="249"/>
      <c s="502"/>
      <c s="502"/>
      <c s="502"/>
      <c s="228"/>
      <c s="502"/>
      <c s="227"/>
      <c s="227"/>
      <c s="227"/>
      <c s="227"/>
      <c r="IW4" s="509">
        <v>14</v>
      </c>
    </row>
    <row r="5" spans="1:22 257:257" s="1821" customFormat="1" ht="27.3" customHeight="1">
      <c r="A5" s="1157"/>
      <c s="1162"/>
      <c s="1157"/>
      <c s="1497"/>
      <c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2"/>
      <c s="2102"/>
      <c s="2102"/>
      <c s="2102"/>
      <c s="2102"/>
      <c s="2102"/>
      <c s="590"/>
      <c s="249"/>
      <c s="502"/>
      <c s="502"/>
      <c s="502"/>
      <c s="228"/>
      <c s="502"/>
      <c s="227"/>
      <c s="227"/>
      <c s="227"/>
      <c s="227"/>
      <c r="IW5" s="509">
        <v>26</v>
      </c>
    </row>
    <row r="6" spans="1:22 257:257" s="1821" customFormat="1" ht="14.7" customHeight="1">
      <c r="A6" s="1157"/>
      <c s="1162"/>
      <c s="1157"/>
      <c s="1497"/>
      <c s="511"/>
      <c s="169"/>
      <c s="169"/>
      <c s="169"/>
      <c s="169"/>
      <c s="169"/>
      <c s="169"/>
      <c s="170"/>
      <c s="502"/>
      <c s="502"/>
      <c s="502"/>
      <c s="502"/>
      <c s="228"/>
      <c s="502"/>
      <c s="227"/>
      <c s="227"/>
      <c s="227"/>
      <c s="227"/>
      <c r="IW6" s="509">
        <v>14</v>
      </c>
    </row>
    <row r="7" spans="1:22 257:257" s="1821" customFormat="1" ht="14.7" customHeight="1">
      <c r="A7" s="1157"/>
      <c s="1162"/>
      <c s="1157"/>
      <c s="1497"/>
      <c s="2103" t="s">
        <v>300</v>
      </c>
      <c s="2104"/>
      <c s="2104"/>
      <c s="2104"/>
      <c s="2104"/>
      <c s="2104"/>
      <c s="2104"/>
      <c s="2476" t="s">
        <v>301</v>
      </c>
      <c s="502"/>
      <c s="502"/>
      <c s="502"/>
      <c s="502"/>
      <c s="228"/>
      <c s="502"/>
      <c s="227"/>
      <c s="227"/>
      <c s="227"/>
      <c s="227"/>
      <c r="IW7" s="509">
        <v>14</v>
      </c>
    </row>
    <row r="8" spans="1:22 257:257" s="1821" customFormat="1" ht="67.2" customHeight="1">
      <c r="A8" s="1157"/>
      <c s="1162"/>
      <c s="1157"/>
      <c s="1497"/>
      <c s="2480" t="s">
        <v>87</v>
      </c>
      <c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3"/>
      <c s="2484"/>
      <c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8"/>
      <c s="502"/>
      <c s="502"/>
      <c s="502"/>
      <c s="502"/>
      <c s="228"/>
      <c s="502"/>
      <c s="227"/>
      <c s="227"/>
      <c s="227"/>
      <c s="227"/>
      <c r="IW8" s="509">
        <v>64</v>
      </c>
    </row>
    <row r="9" spans="1:22 257:257" s="1821" customFormat="1" ht="29.25" customHeight="1">
      <c r="A9" s="1157"/>
      <c s="1162"/>
      <c s="1157"/>
      <c s="1497"/>
      <c s="2481"/>
      <c s="2481"/>
      <c s="1539" t="s">
        <v>1874</v>
      </c>
      <c s="1539" t="s">
        <v>1875</v>
      </c>
      <c s="1539" t="s">
        <v>1876</v>
      </c>
      <c s="2481"/>
      <c s="2481"/>
      <c s="2477"/>
      <c s="502"/>
      <c s="502"/>
      <c s="502"/>
      <c s="502"/>
      <c s="228"/>
      <c s="502"/>
      <c s="227"/>
      <c s="227"/>
      <c s="227"/>
      <c s="227"/>
      <c r="IW9" s="509">
        <v>28</v>
      </c>
    </row>
    <row r="10" spans="1:83 257:257" s="1852" customFormat="1" ht="23.25" customHeight="1">
      <c r="A10" s="2101"/>
      <c s="1162">
        <v>1</v>
      </c>
      <c s="1162"/>
      <c s="802"/>
      <c s="800">
        <v>1</v>
      </c>
      <c s="1541" t="str">
        <f>IF(ROIV_INFO_NAME="","",ROIV_INFO_NAME)</f>
        <v>ГУП КК "Кубаньводкомплекс"</v>
      </c>
      <c s="1734" t="s">
        <v>22</v>
      </c>
      <c s="1918"/>
      <c s="1536"/>
      <c s="820"/>
      <c s="820"/>
      <c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7">
        <f>MERGEVALUE(F10)</f>
      </c>
      <c s="513"/>
      <c s="513"/>
      <c s="502" t="str">
        <f t="array" ref="P10">IF(ISERROR(MATCH(MID(Q10,1,250),MID(note_ter,1,250),0)),"n","y")</f>
        <v>n</v>
      </c>
      <c s="513"/>
      <c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10" s="425">
        <v>22</v>
      </c>
    </row>
    <row r="11" spans="1:83 257:257" s="1852" customFormat="1" ht="15.75" customHeight="1">
      <c r="A11" s="2101"/>
      <c s="1162"/>
      <c s="414"/>
      <c s="803"/>
      <c s="423"/>
      <c s="418" t="s">
        <v>1877</v>
      </c>
      <c s="189"/>
      <c s="189"/>
      <c s="189"/>
      <c s="189"/>
      <c s="426"/>
      <c s="2479"/>
      <c s="1538"/>
      <c s="513"/>
      <c s="513"/>
      <c s="513"/>
      <c s="502"/>
      <c s="513"/>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11" s="425">
        <v>15</v>
      </c>
    </row>
    <row r="12" spans="1:22 257:257" s="1821" customFormat="1" ht="22.05" customHeight="1">
      <c r="A12" s="1157"/>
      <c s="1162"/>
      <c s="1157"/>
      <c s="453"/>
      <c s="182"/>
      <c s="182"/>
      <c s="182"/>
      <c s="182"/>
      <c s="182"/>
      <c s="182"/>
      <c s="182"/>
      <c s="182"/>
      <c s="502"/>
      <c s="502"/>
      <c s="502"/>
      <c s="502"/>
      <c s="228"/>
      <c s="502"/>
      <c s="227"/>
      <c s="227"/>
      <c s="227"/>
      <c s="227"/>
      <c r="IW12" s="509">
        <v>21</v>
      </c>
    </row>
    <row r="13" spans="1:22 257:257" s="1821" customFormat="1" ht="14.7" customHeight="1">
      <c r="A13" s="1157"/>
      <c s="1162"/>
      <c s="1157"/>
      <c s="453"/>
      <c s="1157"/>
      <c s="1157"/>
      <c s="1157"/>
      <c s="1157"/>
      <c s="1157"/>
      <c s="1157"/>
      <c s="1157"/>
      <c s="1157"/>
      <c s="502"/>
      <c s="502"/>
      <c s="502"/>
      <c s="502"/>
      <c s="228"/>
      <c s="502"/>
      <c s="227"/>
      <c s="227"/>
      <c s="227"/>
      <c s="227"/>
      <c r="IW13" s="509">
        <v>14</v>
      </c>
    </row>
    <row r="14" spans="1:22 257:257" s="1821" customFormat="1" ht="1.05" customHeight="1">
      <c r="A14" s="1157"/>
      <c s="1162"/>
      <c s="1157"/>
      <c s="453"/>
      <c s="1157"/>
      <c s="1157"/>
      <c s="1157"/>
      <c s="1157"/>
      <c s="1157"/>
      <c s="1157"/>
      <c s="1157"/>
      <c s="1157"/>
      <c s="502"/>
      <c s="502"/>
      <c s="502"/>
      <c s="502"/>
      <c s="228"/>
      <c s="502"/>
      <c s="227"/>
      <c s="227"/>
      <c s="227"/>
      <c s="227"/>
      <c r="IW14" s="509">
        <v>1</v>
      </c>
    </row>
    <row r="15" spans="1:257" ht="22.5" customHeight="1" hidden="1">
      <c r="A15" s="1157" t="s">
        <v>81</v>
      </c>
      <c s="1162">
        <v>0</v>
      </c>
      <c s="1157">
        <v>0</v>
      </c>
      <c s="453">
        <v>3</v>
      </c>
      <c s="1157">
        <v>6</v>
      </c>
      <c s="1157">
        <v>27</v>
      </c>
      <c s="1157">
        <v>16</v>
      </c>
      <c s="1157">
        <v>12</v>
      </c>
      <c s="1157">
        <v>32</v>
      </c>
      <c s="1157">
        <v>41</v>
      </c>
      <c s="1157">
        <v>41</v>
      </c>
      <c s="1157">
        <v>89</v>
      </c>
      <c s="502">
        <v>3</v>
      </c>
      <c s="502">
        <v>8</v>
      </c>
      <c s="502">
        <v>8</v>
      </c>
      <c s="502">
        <v>8</v>
      </c>
      <c s="228">
        <v>25</v>
      </c>
      <c s="502">
        <v>14</v>
      </c>
      <c s="227">
        <v>8</v>
      </c>
      <c s="227">
        <v>8</v>
      </c>
      <c s="227">
        <v>8</v>
      </c>
      <c s="22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sqref="I2 I10">
      <formula1>990</formula1>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225E10B-F1B8-7687-0B8C-0.A73A10B}"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16" style="1637" customWidth="1"/>
    <col min="8" max="8" width="12" style="1637" customWidth="1"/>
    <col min="9" max="9" width="32" style="1637" customWidth="1"/>
    <col min="10" max="11" width="41" style="1637" customWidth="1"/>
    <col min="12" max="12" width="89" style="1637" customWidth="1"/>
    <col min="13" max="13" width="3" style="1626" customWidth="1"/>
    <col min="14" max="16" width="8" style="1626" customWidth="1"/>
    <col min="17" max="17" width="25" style="1626" customWidth="1"/>
    <col min="18" max="18" width="14" style="1626" customWidth="1"/>
    <col min="19" max="22" width="8" style="227" customWidth="1"/>
    <col min="23" max="256" width="8" style="1637" customWidth="1"/>
    <col min="257" max="257" width="9.14285714285714" style="1637" hidden="1"/>
  </cols>
  <sheetData>
    <row r="1" spans="257:257" ht="22.5" customHeight="1" hidden="1">
      <c r="IW1" s="1633" t="s">
        <v>14</v>
      </c>
    </row>
    <row r="2" spans="1:83 257:257" s="1852" customFormat="1" ht="22.5" customHeight="1" hidden="1">
      <c r="A2" s="833"/>
      <c s="1368">
        <v>1</v>
      </c>
      <c s="1368"/>
      <c s="1930" t="s">
        <v>689</v>
      </c>
      <c s="1906"/>
      <c s="1908" t="str">
        <f>IF(ROIV_INFO_NAME="","",ROIV_INFO_NAME)</f>
        <v>ГУП КК "Кубаньводкомплекс"</v>
      </c>
      <c s="1734" t="s">
        <v>22</v>
      </c>
      <c s="1918"/>
      <c s="1540"/>
      <c s="820"/>
      <c s="820"/>
      <c s="230"/>
      <c s="1537">
        <f>MERGEVALUE(F2)</f>
      </c>
      <c s="1638"/>
      <c s="1638"/>
      <c s="1626" t="str">
        <f t="array" ref="P2">IF(ISERROR(MATCH(MID(Q2,1,250),MID(note_ter,1,250),0)),"n","y")</f>
        <v>n</v>
      </c>
      <c s="1638"/>
      <c s="1626" t="str">
        <f>G2&amp;"("&amp;L2&amp;")"</f>
        <v>()</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2" s="626">
        <v>0</v>
      </c>
    </row>
    <row r="3" spans="1:257" s="1644" customFormat="1" ht="5.25" customHeight="1" hidden="1">
      <c r="A3" s="1643"/>
      <c r="D3" s="1895"/>
      <c r="F3" s="250" t="s">
        <v>82</v>
      </c>
      <c s="1737" t="s">
        <v>83</v>
      </c>
      <c s="1895"/>
      <c s="1895"/>
      <c s="1895"/>
      <c s="1895"/>
      <c s="229" t="s">
        <v>84</v>
      </c>
      <c s="250" t="s">
        <v>82</v>
      </c>
      <c s="250"/>
      <c s="250"/>
      <c s="250"/>
      <c s="250"/>
      <c s="250"/>
      <c s="250"/>
      <c s="250"/>
      <c s="250"/>
      <c s="250"/>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1638">
        <v>0</v>
      </c>
    </row>
    <row r="4" spans="1:22 257:257" s="1821" customFormat="1" ht="14.7" customHeight="1">
      <c r="A4" s="1633"/>
      <c s="1368"/>
      <c s="1633"/>
      <c s="1517"/>
      <c s="1637"/>
      <c s="1637"/>
      <c s="1637"/>
      <c s="1637"/>
      <c s="1637"/>
      <c s="1637"/>
      <c s="1637"/>
      <c s="1897"/>
      <c s="250"/>
      <c s="1626"/>
      <c s="1626"/>
      <c s="1626"/>
      <c s="1626"/>
      <c s="1626"/>
      <c s="227"/>
      <c s="227"/>
      <c s="227"/>
      <c s="227"/>
      <c r="IW4" s="1611">
        <v>14</v>
      </c>
    </row>
    <row r="5" spans="1:22 257:257" s="1821" customFormat="1" ht="27.3" customHeight="1">
      <c r="A5" s="1633"/>
      <c s="1368"/>
      <c s="1633"/>
      <c s="1517"/>
      <c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2"/>
      <c s="2102"/>
      <c s="2102"/>
      <c s="2102"/>
      <c s="2102"/>
      <c s="2102"/>
      <c s="1637"/>
      <c s="250"/>
      <c s="1626"/>
      <c s="1626"/>
      <c s="1626"/>
      <c s="1626"/>
      <c s="1626"/>
      <c s="227"/>
      <c s="227"/>
      <c s="227"/>
      <c s="227"/>
      <c r="IW5" s="1611">
        <v>26</v>
      </c>
    </row>
    <row r="6" spans="1:22 257:257" s="1821" customFormat="1" ht="14.7" customHeight="1">
      <c r="A6" s="1633"/>
      <c s="1368"/>
      <c s="1633"/>
      <c s="1517"/>
      <c s="1637"/>
      <c s="618"/>
      <c s="618"/>
      <c s="618"/>
      <c s="618"/>
      <c s="618"/>
      <c s="618"/>
      <c s="1254"/>
      <c s="1626"/>
      <c s="1626"/>
      <c s="1626"/>
      <c s="1626"/>
      <c s="1626"/>
      <c s="1626"/>
      <c s="227"/>
      <c s="227"/>
      <c s="227"/>
      <c s="227"/>
      <c r="IW6" s="1611">
        <v>14</v>
      </c>
    </row>
    <row r="7" spans="1:22 257:257" s="1821" customFormat="1" ht="14.7" customHeight="1">
      <c r="A7" s="1633"/>
      <c s="1368"/>
      <c s="1633"/>
      <c s="1517"/>
      <c s="2103" t="s">
        <v>300</v>
      </c>
      <c s="2104"/>
      <c s="2104"/>
      <c s="2104"/>
      <c s="2104"/>
      <c s="2104"/>
      <c s="2104"/>
      <c s="2476" t="s">
        <v>301</v>
      </c>
      <c s="1626"/>
      <c s="1626"/>
      <c s="1626"/>
      <c s="1626"/>
      <c s="1626"/>
      <c s="1626"/>
      <c s="227"/>
      <c s="227"/>
      <c s="227"/>
      <c s="227"/>
      <c r="IW7" s="1611">
        <v>14</v>
      </c>
    </row>
    <row r="8" spans="1:22 257:257" s="1821" customFormat="1" ht="67.2" customHeight="1">
      <c r="A8" s="1633"/>
      <c s="1368"/>
      <c s="1633"/>
      <c s="1517"/>
      <c s="2480" t="s">
        <v>87</v>
      </c>
      <c s="2480" t="s">
        <v>1878</v>
      </c>
      <c s="2482" t="s">
        <v>1879</v>
      </c>
      <c s="2483"/>
      <c s="2484"/>
      <c s="2480" t="s">
        <v>1880</v>
      </c>
      <c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8"/>
      <c s="1626"/>
      <c s="1626"/>
      <c s="1626"/>
      <c s="1626"/>
      <c s="1626"/>
      <c s="1626"/>
      <c s="227"/>
      <c s="227"/>
      <c s="227"/>
      <c s="227"/>
      <c r="IW8" s="1611">
        <v>64</v>
      </c>
    </row>
    <row r="9" spans="1:22 257:257" s="1821" customFormat="1" ht="29.25" customHeight="1">
      <c r="A9" s="1633"/>
      <c s="1368"/>
      <c s="1633"/>
      <c s="1517"/>
      <c s="2481"/>
      <c s="2481"/>
      <c s="1896" t="s">
        <v>1874</v>
      </c>
      <c s="1896" t="s">
        <v>1875</v>
      </c>
      <c s="1896" t="s">
        <v>1876</v>
      </c>
      <c s="2481"/>
      <c s="2481"/>
      <c s="2477"/>
      <c s="1626"/>
      <c s="1626"/>
      <c s="1626"/>
      <c s="1626"/>
      <c s="1626"/>
      <c s="1626"/>
      <c s="227"/>
      <c s="227"/>
      <c s="227"/>
      <c s="227"/>
      <c r="IW9" s="1611">
        <v>28</v>
      </c>
    </row>
    <row r="10" spans="1:83 257:257" s="1852" customFormat="1" ht="1.05" customHeight="1">
      <c r="A10" s="2101"/>
      <c s="1368">
        <v>1</v>
      </c>
      <c s="1368"/>
      <c s="802"/>
      <c s="797">
        <v>0</v>
      </c>
      <c s="1893" t="str">
        <f>IF(ROIV_INFO_NAME="","",ROIV_INFO_NAME)</f>
        <v>ГУП КК "Кубаньводкомплекс"</v>
      </c>
      <c s="1735" t="s">
        <v>22</v>
      </c>
      <c s="1905"/>
      <c s="1905"/>
      <c s="521"/>
      <c s="521"/>
      <c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7">
        <f>MERGEVALUE(F10)</f>
      </c>
      <c s="1638"/>
      <c s="1638"/>
      <c s="1626" t="str">
        <f t="array" ref="P10">IF(ISERROR(MATCH(MID(Q10,1,250),MID(note_ter,1,250),0)),"n","y")</f>
        <v>n</v>
      </c>
      <c s="1638"/>
      <c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10" s="626">
        <v>1</v>
      </c>
    </row>
    <row r="11" spans="1:83 257:257" s="1852" customFormat="1" ht="15.75" customHeight="1">
      <c r="A11" s="2101"/>
      <c s="1368"/>
      <c s="414"/>
      <c s="803"/>
      <c s="423"/>
      <c s="653" t="s">
        <v>1877</v>
      </c>
      <c s="189"/>
      <c s="189"/>
      <c s="189"/>
      <c s="189"/>
      <c s="426"/>
      <c s="2479"/>
      <c s="1538"/>
      <c s="1638"/>
      <c s="1638"/>
      <c s="1638"/>
      <c s="1626"/>
      <c s="1638"/>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11" s="626">
        <v>15</v>
      </c>
    </row>
    <row r="12" spans="1:22 257:257" s="1821" customFormat="1" ht="22.05" customHeight="1">
      <c r="A12" s="1633"/>
      <c s="1368"/>
      <c s="1633"/>
      <c s="1635"/>
      <c s="182"/>
      <c s="182"/>
      <c s="182"/>
      <c s="182"/>
      <c s="182"/>
      <c s="182"/>
      <c s="182"/>
      <c s="182"/>
      <c s="1626"/>
      <c s="1626"/>
      <c s="1626"/>
      <c s="1626"/>
      <c s="1626"/>
      <c s="1626"/>
      <c s="227"/>
      <c s="227"/>
      <c s="227"/>
      <c s="227"/>
      <c r="IW12" s="1611">
        <v>21</v>
      </c>
    </row>
    <row r="13" spans="1:22 257:257" s="1821" customFormat="1" ht="14.7" customHeight="1">
      <c r="A13" s="1633"/>
      <c s="1368"/>
      <c s="1633"/>
      <c s="1635"/>
      <c s="1633"/>
      <c s="1633"/>
      <c s="1633"/>
      <c s="1633"/>
      <c s="1633"/>
      <c s="1633"/>
      <c s="1633"/>
      <c s="1633"/>
      <c s="1626"/>
      <c s="1626"/>
      <c s="1626"/>
      <c s="1626"/>
      <c s="1626"/>
      <c s="1626"/>
      <c s="227"/>
      <c s="227"/>
      <c s="227"/>
      <c s="227"/>
      <c r="IW13" s="1611">
        <v>14</v>
      </c>
    </row>
    <row r="14" spans="1:22 257:257" s="1821" customFormat="1" ht="1.05" customHeight="1">
      <c r="A14" s="1633"/>
      <c s="1368"/>
      <c s="1633"/>
      <c s="1635"/>
      <c s="1633"/>
      <c s="1633"/>
      <c s="1633"/>
      <c s="1633"/>
      <c s="1633"/>
      <c s="1633"/>
      <c s="1633"/>
      <c s="1633"/>
      <c s="1626"/>
      <c s="1626"/>
      <c s="1626"/>
      <c s="1626"/>
      <c s="1626"/>
      <c s="1626"/>
      <c s="227"/>
      <c s="227"/>
      <c s="227"/>
      <c s="227"/>
      <c r="IW14" s="1611">
        <v>1</v>
      </c>
    </row>
    <row r="15" spans="1:257" ht="22.5" customHeight="1" hidden="1">
      <c r="A15" s="1633" t="s">
        <v>81</v>
      </c>
      <c s="1368">
        <v>0</v>
      </c>
      <c s="1633">
        <v>0</v>
      </c>
      <c s="1635">
        <v>3</v>
      </c>
      <c s="1633">
        <v>6</v>
      </c>
      <c s="1633">
        <v>27</v>
      </c>
      <c s="1633">
        <v>16</v>
      </c>
      <c s="1633">
        <v>12</v>
      </c>
      <c s="1633">
        <v>32</v>
      </c>
      <c s="1633">
        <v>41</v>
      </c>
      <c s="1633">
        <v>41</v>
      </c>
      <c s="1633">
        <v>89</v>
      </c>
      <c s="1626">
        <v>3</v>
      </c>
      <c s="1626">
        <v>8</v>
      </c>
      <c s="1626">
        <v>8</v>
      </c>
      <c s="1626">
        <v>8</v>
      </c>
      <c s="1626">
        <v>25</v>
      </c>
      <c s="1626">
        <v>14</v>
      </c>
      <c s="227">
        <v>8</v>
      </c>
      <c s="227">
        <v>8</v>
      </c>
      <c s="227">
        <v>8</v>
      </c>
      <c s="227">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0.999305555555556</formula2>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F70FB6-B824-97B9-C997-0.4E44AE43}"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29" style="1637" customWidth="1"/>
    <col min="8" max="8" width="25" style="1637" customWidth="1"/>
    <col min="9" max="9" width="5" style="1637" customWidth="1"/>
    <col min="10" max="10" width="6" style="1637" customWidth="1"/>
    <col min="11" max="11" width="41" style="1637" customWidth="1"/>
    <col min="12" max="12" width="42" style="1637" customWidth="1"/>
    <col min="13" max="13" width="41" style="1637" customWidth="1"/>
    <col min="14" max="14" width="89" style="1637" customWidth="1"/>
    <col min="15" max="15" width="3" style="1626" customWidth="1"/>
    <col min="16" max="16" width="8" style="1626" customWidth="1"/>
    <col min="17" max="17" width="9.14285714285714" style="1637" hidden="1"/>
  </cols>
  <sheetData>
    <row r="1" spans="17:17" ht="22.5" customHeight="1" hidden="1">
      <c r="Q1" s="1157" t="s">
        <v>14</v>
      </c>
    </row>
    <row r="2" spans="1:17" s="1852" customFormat="1" ht="22.5" customHeight="1" hidden="1">
      <c r="A2" s="498"/>
      <c s="1162">
        <v>1</v>
      </c>
      <c s="1162"/>
      <c s="1930" t="s">
        <v>689</v>
      </c>
      <c s="2129">
        <v>1</v>
      </c>
      <c s="2305" t="str">
        <f>IF(region_name="","",region_name)</f>
        <v>Краснодарский край</v>
      </c>
      <c s="2485"/>
      <c s="2486"/>
      <c s="476"/>
      <c s="1912">
        <v>1</v>
      </c>
      <c s="1914"/>
      <c s="1914"/>
      <c s="1914"/>
      <c s="494"/>
      <c s="1537"/>
      <c s="513"/>
      <c s="425">
        <v>0</v>
      </c>
    </row>
    <row r="3" spans="1:17" s="1852" customFormat="1" ht="22.5" customHeight="1" hidden="1">
      <c r="A3" s="833"/>
      <c s="1162"/>
      <c s="1162"/>
      <c s="803"/>
      <c s="2129"/>
      <c s="2305"/>
      <c s="2485"/>
      <c s="2487"/>
      <c s="423"/>
      <c s="1502"/>
      <c s="1502" t="s">
        <v>1881</v>
      </c>
      <c s="1545"/>
      <c s="1922"/>
      <c s="1915"/>
      <c s="1537"/>
      <c s="513"/>
      <c s="425">
        <v>0</v>
      </c>
    </row>
    <row r="4" spans="1:17" s="1644" customFormat="1" ht="5.25" customHeight="1" hidden="1">
      <c r="A4" s="498"/>
      <c r="D4" s="496"/>
      <c r="F4" s="249" t="s">
        <v>82</v>
      </c>
      <c s="496" t="s">
        <v>83</v>
      </c>
      <c s="496"/>
      <c s="1925"/>
      <c s="1546"/>
      <c s="1913"/>
      <c s="1913"/>
      <c s="1913"/>
      <c s="1909"/>
      <c s="249" t="s">
        <v>82</v>
      </c>
      <c s="249"/>
      <c s="513">
        <v>0</v>
      </c>
    </row>
    <row r="5" spans="1:17" s="1852" customFormat="1" ht="22.5" customHeight="1" hidden="1">
      <c r="A5" s="1643"/>
      <c s="1368">
        <v>1</v>
      </c>
      <c s="1368"/>
      <c s="803"/>
      <c s="1915"/>
      <c s="1915"/>
      <c s="1915"/>
      <c s="1926"/>
      <c s="1931" t="s">
        <v>689</v>
      </c>
      <c s="1924">
        <v>1</v>
      </c>
      <c s="1914"/>
      <c s="1914"/>
      <c s="1914"/>
      <c s="494"/>
      <c s="1537"/>
      <c s="1638"/>
      <c s="626">
        <v>0</v>
      </c>
    </row>
    <row r="6" spans="1:17" s="1821" customFormat="1" ht="14.7" customHeight="1">
      <c r="A6" s="1157"/>
      <c s="1162"/>
      <c s="1157"/>
      <c s="1497"/>
      <c s="511"/>
      <c s="511"/>
      <c s="511"/>
      <c s="511"/>
      <c s="511"/>
      <c s="511"/>
      <c s="511"/>
      <c s="511"/>
      <c s="511"/>
      <c s="1637"/>
      <c s="249"/>
      <c s="502"/>
      <c s="509">
        <v>14</v>
      </c>
    </row>
    <row r="7" spans="1:17" s="1821" customFormat="1" ht="27.3" customHeight="1">
      <c r="A7" s="1157"/>
      <c s="1162"/>
      <c s="1157"/>
      <c s="1497"/>
      <c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2"/>
      <c s="2492"/>
      <c s="2492"/>
      <c s="2492"/>
      <c s="2492"/>
      <c s="2492"/>
      <c s="2492"/>
      <c s="2492"/>
      <c s="1254"/>
      <c s="249"/>
      <c s="502"/>
      <c s="509">
        <v>26</v>
      </c>
    </row>
    <row r="8" spans="1:17" s="1821" customFormat="1" ht="14.7" customHeight="1">
      <c r="A8" s="1157"/>
      <c s="1162"/>
      <c s="1157"/>
      <c s="1497"/>
      <c s="511"/>
      <c s="169"/>
      <c s="169"/>
      <c s="169"/>
      <c s="169"/>
      <c s="169"/>
      <c s="169"/>
      <c s="169"/>
      <c s="169"/>
      <c s="618"/>
      <c s="502"/>
      <c s="502"/>
      <c s="509">
        <v>14</v>
      </c>
    </row>
    <row r="9" spans="1:17" s="1548" customFormat="1" ht="14.25" customHeight="1" hidden="1">
      <c r="A9" s="1470"/>
      <c s="1480"/>
      <c s="1470"/>
      <c s="1497"/>
      <c s="1916"/>
      <c s="1916"/>
      <c s="1916"/>
      <c s="1916"/>
      <c s="2495"/>
      <c s="2495"/>
      <c s="2495"/>
      <c s="1916"/>
      <c s="1917"/>
      <c r="O9" s="1547"/>
      <c s="1547"/>
      <c s="1548">
        <v>0</v>
      </c>
    </row>
    <row r="10" spans="1:17" s="1821" customFormat="1" ht="14.7" customHeight="1">
      <c r="A10" s="1157"/>
      <c s="1162"/>
      <c s="1157"/>
      <c s="1497"/>
      <c s="2129" t="s">
        <v>300</v>
      </c>
      <c s="2129"/>
      <c s="2129"/>
      <c s="2129"/>
      <c s="2129"/>
      <c s="2129"/>
      <c s="2129"/>
      <c s="2129"/>
      <c s="2103"/>
      <c s="2480" t="s">
        <v>301</v>
      </c>
      <c s="502"/>
      <c s="502"/>
      <c s="509">
        <v>14</v>
      </c>
    </row>
    <row r="11" spans="1:17" s="1821" customFormat="1" ht="44.25" customHeight="1">
      <c r="A11" s="1633"/>
      <c s="1368"/>
      <c s="1633"/>
      <c s="1517"/>
      <c s="2494" t="s">
        <v>87</v>
      </c>
      <c s="2494" t="s">
        <v>304</v>
      </c>
      <c s="2494" t="s">
        <v>1882</v>
      </c>
      <c s="2494"/>
      <c s="2494" t="s">
        <v>1883</v>
      </c>
      <c s="2494"/>
      <c s="2494"/>
      <c s="2494" t="s">
        <v>1884</v>
      </c>
      <c s="2482" t="s">
        <v>1885</v>
      </c>
      <c s="2493"/>
      <c s="1626"/>
      <c s="1626"/>
      <c s="1611">
        <v>42</v>
      </c>
    </row>
    <row r="12" spans="1:17" s="1821" customFormat="1" ht="29.25" customHeight="1">
      <c r="A12" s="1157"/>
      <c s="1162"/>
      <c s="1157"/>
      <c s="1497"/>
      <c s="2480"/>
      <c s="2494"/>
      <c s="1911" t="s">
        <v>1886</v>
      </c>
      <c s="1911" t="s">
        <v>308</v>
      </c>
      <c s="2494"/>
      <c s="2494"/>
      <c s="2494"/>
      <c s="2494"/>
      <c s="2482"/>
      <c s="2481"/>
      <c s="502"/>
      <c s="502"/>
      <c s="509">
        <v>28</v>
      </c>
    </row>
    <row r="13" spans="1:17" s="1852" customFormat="1" ht="23.25" customHeight="1">
      <c r="A13" s="2101">
        <v>26379339</v>
      </c>
      <c s="1162">
        <v>1</v>
      </c>
      <c s="1162"/>
      <c s="803"/>
      <c s="2129">
        <v>1</v>
      </c>
      <c s="2488" t="str">
        <f>IF(region_name="","",region_name)</f>
        <v>Краснодарский край</v>
      </c>
      <c s="2489"/>
      <c s="2496"/>
      <c s="476"/>
      <c s="1907">
        <v>1</v>
      </c>
      <c s="1920"/>
      <c s="1921"/>
      <c s="1921"/>
      <c s="2490" t="s">
        <v>1887</v>
      </c>
      <c s="1537"/>
      <c s="513"/>
      <c s="425">
        <v>22</v>
      </c>
    </row>
    <row r="14" spans="1:17" s="1852" customFormat="1" ht="23.25" customHeight="1">
      <c r="A14" s="2101"/>
      <c s="1162"/>
      <c s="1162"/>
      <c s="803"/>
      <c s="2129"/>
      <c s="2488"/>
      <c s="2489"/>
      <c s="2497"/>
      <c s="423"/>
      <c s="1502"/>
      <c s="1502" t="s">
        <v>1881</v>
      </c>
      <c s="1545"/>
      <c s="1545"/>
      <c s="2491"/>
      <c s="1537"/>
      <c s="513"/>
      <c s="425">
        <v>22</v>
      </c>
    </row>
    <row r="15" spans="1:17" s="1852" customFormat="1" ht="23.25" customHeight="1">
      <c r="A15" s="2101"/>
      <c s="1162"/>
      <c s="414"/>
      <c s="803"/>
      <c s="423"/>
      <c s="1502" t="s">
        <v>1873</v>
      </c>
      <c s="1544"/>
      <c s="1544"/>
      <c s="189"/>
      <c s="189"/>
      <c s="189"/>
      <c s="189"/>
      <c s="189"/>
      <c s="2491"/>
      <c s="1538"/>
      <c s="513"/>
      <c s="425">
        <v>22</v>
      </c>
    </row>
    <row r="16" spans="1:17" s="1821" customFormat="1" ht="22.05" customHeight="1">
      <c r="A16" s="1157"/>
      <c s="1162"/>
      <c s="1157"/>
      <c s="453"/>
      <c s="182"/>
      <c s="182"/>
      <c s="182"/>
      <c s="182"/>
      <c s="182"/>
      <c s="182"/>
      <c s="182"/>
      <c s="182"/>
      <c s="511"/>
      <c s="1637"/>
      <c s="502"/>
      <c s="502"/>
      <c s="509">
        <v>21</v>
      </c>
    </row>
    <row r="17" spans="1:17" s="1821" customFormat="1" ht="14.7" customHeight="1">
      <c r="A17" s="1157"/>
      <c s="1162"/>
      <c s="1157"/>
      <c s="453"/>
      <c s="1157"/>
      <c s="1157"/>
      <c s="1157"/>
      <c s="1157"/>
      <c s="1157"/>
      <c s="1157"/>
      <c s="1157"/>
      <c s="1157"/>
      <c s="1157"/>
      <c s="1633"/>
      <c s="502"/>
      <c s="502"/>
      <c s="509">
        <v>14</v>
      </c>
    </row>
    <row r="18" spans="1:17" s="1821" customFormat="1" ht="1.05" customHeight="1">
      <c r="A18" s="1157"/>
      <c s="1162"/>
      <c s="1157"/>
      <c s="453"/>
      <c s="1157"/>
      <c s="1157"/>
      <c s="1157"/>
      <c s="1157"/>
      <c s="1157"/>
      <c s="1157"/>
      <c s="1157"/>
      <c s="1157"/>
      <c s="1157"/>
      <c s="1633"/>
      <c s="502"/>
      <c s="502"/>
      <c s="509">
        <v>1</v>
      </c>
    </row>
    <row r="19" spans="1:17" ht="22.5" customHeight="1" hidden="1">
      <c r="A19" s="1157" t="s">
        <v>81</v>
      </c>
      <c s="1162">
        <v>0</v>
      </c>
      <c s="1157">
        <v>0</v>
      </c>
      <c s="453">
        <v>3</v>
      </c>
      <c s="1157">
        <v>6</v>
      </c>
      <c s="1157">
        <v>27</v>
      </c>
      <c s="1157">
        <v>29</v>
      </c>
      <c s="1157">
        <v>25</v>
      </c>
      <c s="1157">
        <v>5</v>
      </c>
      <c s="1157">
        <v>6</v>
      </c>
      <c s="1157">
        <v>41</v>
      </c>
      <c s="1157">
        <v>42</v>
      </c>
      <c s="1157">
        <v>41</v>
      </c>
      <c s="1633">
        <v>89</v>
      </c>
      <c s="502">
        <v>3</v>
      </c>
      <c s="502">
        <v>8</v>
      </c>
      <c s="1157">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9B6005D-0539-5B01-3819-0.A15C1E6C}"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60" hidden="1"/>
    <col min="2" max="2" width="9.14285714285714" style="1825" hidden="1"/>
    <col min="3" max="3" width="3" style="122" customWidth="1"/>
    <col min="4" max="4" width="6" style="1825" customWidth="1"/>
    <col min="5" max="5" width="22" style="1825" customWidth="1"/>
    <col min="6" max="6" width="15" style="1825" customWidth="1"/>
    <col min="7" max="7" width="14" style="1825" customWidth="1"/>
    <col min="8" max="8" width="47" style="1825" customWidth="1"/>
    <col min="9" max="9" width="115" style="1825" customWidth="1"/>
    <col min="10" max="10" width="3" style="1825" customWidth="1"/>
    <col min="11" max="12" width="8" style="1825" customWidth="1"/>
    <col min="13" max="13" width="9.14285714285714" style="1825" hidden="1"/>
  </cols>
  <sheetData>
    <row r="1" spans="13:13" ht="14.25" customHeight="1" hidden="1">
      <c r="M1" s="123" t="s">
        <v>14</v>
      </c>
    </row>
    <row r="2" spans="13:13" ht="14.25" customHeight="1" hidden="1">
      <c r="M2" s="123">
        <v>0</v>
      </c>
    </row>
    <row r="3" spans="13:13" ht="14.25" customHeight="1" hidden="1">
      <c r="M3" s="123">
        <v>0</v>
      </c>
    </row>
    <row r="4" spans="13:13" ht="3" customHeight="1">
      <c r="M4" s="123">
        <v>3</v>
      </c>
    </row>
    <row r="5" spans="1:13" s="1637" customFormat="1" ht="31.5" customHeight="1">
      <c r="A5" s="117"/>
      <c r="C5" s="92"/>
      <c s="2102" t="s">
        <v>1888</v>
      </c>
      <c s="2102"/>
      <c s="2102"/>
      <c s="2102"/>
      <c s="2102"/>
      <c s="267"/>
      <c r="M5" s="85">
        <v>30</v>
      </c>
    </row>
    <row r="6" spans="4:13" ht="3" customHeight="1" hidden="1">
      <c r="D6" s="124"/>
      <c s="124"/>
      <c s="124"/>
      <c s="124"/>
      <c s="124"/>
      <c s="124"/>
      <c r="M6" s="123">
        <v>0</v>
      </c>
    </row>
    <row r="7" spans="2:13" s="360" customFormat="1" ht="14.7" customHeight="1">
      <c r="B7" s="121"/>
      <c s="122"/>
      <c s="125"/>
      <c s="125"/>
      <c s="125"/>
      <c s="125"/>
      <c s="754"/>
      <c s="125"/>
      <c s="126"/>
      <c r="M7" s="120">
        <v>14</v>
      </c>
    </row>
    <row r="8" spans="4:13" ht="14.7" customHeight="1">
      <c r="D8" s="2211" t="s">
        <v>300</v>
      </c>
      <c s="2211"/>
      <c s="2211"/>
      <c s="2211"/>
      <c s="2211"/>
      <c s="2211" t="s">
        <v>301</v>
      </c>
      <c r="M8" s="123">
        <v>14</v>
      </c>
    </row>
    <row r="9" spans="4:13" ht="29.25" customHeight="1">
      <c r="D9" s="2211" t="s">
        <v>87</v>
      </c>
      <c s="2211" t="s">
        <v>1889</v>
      </c>
      <c s="2211"/>
      <c s="2211"/>
      <c s="2211"/>
      <c s="2211"/>
      <c r="M9" s="123">
        <v>28</v>
      </c>
    </row>
    <row r="10" spans="4:13" ht="24" customHeight="1">
      <c r="D10" s="2211"/>
      <c s="129" t="s">
        <v>1890</v>
      </c>
      <c s="129" t="s">
        <v>1891</v>
      </c>
      <c s="129" t="s">
        <v>1892</v>
      </c>
      <c s="129" t="s">
        <v>390</v>
      </c>
      <c s="2211"/>
      <c r="M10" s="123">
        <v>23</v>
      </c>
    </row>
    <row r="11" spans="4:13" ht="12" customHeight="1" hidden="1">
      <c r="D11" s="89" t="s">
        <v>109</v>
      </c>
      <c s="89" t="s">
        <v>90</v>
      </c>
      <c s="89" t="s">
        <v>111</v>
      </c>
      <c s="89" t="s">
        <v>91</v>
      </c>
      <c s="89" t="s">
        <v>92</v>
      </c>
      <c s="89" t="s">
        <v>112</v>
      </c>
      <c r="M11" s="123">
        <v>0</v>
      </c>
    </row>
    <row r="12" spans="1:13" s="1825" customFormat="1" ht="26.25" customHeight="1">
      <c r="A12" s="147" t="s">
        <v>89</v>
      </c>
      <c s="127" t="s">
        <v>22</v>
      </c>
      <c s="128"/>
      <c s="130" t="s">
        <v>109</v>
      </c>
      <c s="383"/>
      <c s="383"/>
      <c s="1736" t="s">
        <v>22</v>
      </c>
      <c s="384"/>
      <c s="2171" t="s">
        <v>1893</v>
      </c>
      <c r="K12" s="274"/>
      <c s="275"/>
      <c s="119">
        <v>25</v>
      </c>
    </row>
    <row r="13" spans="1:13" ht="15.75" customHeight="1">
      <c r="A13" s="123"/>
      <c s="123"/>
      <c s="123"/>
      <c s="111"/>
      <c s="132" t="s">
        <v>468</v>
      </c>
      <c s="131"/>
      <c s="131"/>
      <c s="216"/>
      <c s="2173"/>
      <c r="M13" s="123">
        <v>15</v>
      </c>
    </row>
    <row r="14" spans="1:13" ht="3" customHeight="1">
      <c r="A14" s="123"/>
      <c s="123"/>
      <c s="123"/>
      <c r="M14" s="123">
        <v>3</v>
      </c>
    </row>
    <row r="15" spans="5:13" ht="29.25" customHeight="1">
      <c r="E15" s="2498" t="s">
        <v>1894</v>
      </c>
      <c s="2498"/>
      <c s="2498"/>
      <c s="2498"/>
      <c r="M15" s="123">
        <v>28</v>
      </c>
    </row>
    <row r="16" spans="1:13" ht="14.25" customHeight="1" hidden="1">
      <c r="A16" s="120" t="s">
        <v>81</v>
      </c>
      <c s="121">
        <v>0</v>
      </c>
      <c s="122">
        <v>3</v>
      </c>
      <c s="123">
        <v>6</v>
      </c>
      <c s="123">
        <v>22</v>
      </c>
      <c s="123">
        <v>15</v>
      </c>
      <c s="123">
        <v>14</v>
      </c>
      <c s="123">
        <v>47</v>
      </c>
      <c s="123">
        <v>115</v>
      </c>
      <c s="123">
        <v>3</v>
      </c>
      <c s="123">
        <v>8</v>
      </c>
      <c s="123">
        <v>8</v>
      </c>
      <c s="12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5E7AB09-6C4C-D89D-FB96-0.1D1B9145}"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6" hidden="1"/>
    <col min="3" max="3" width="3" style="93" customWidth="1"/>
    <col min="4" max="4" width="6" style="266" customWidth="1"/>
    <col min="5" max="5" width="94" style="266" customWidth="1"/>
    <col min="6" max="9" width="8" style="266" customWidth="1"/>
    <col min="10" max="10" width="9.14285714285714" style="266" hidden="1"/>
  </cols>
  <sheetData>
    <row r="1" spans="10:10" ht="14.25" customHeight="1" hidden="1">
      <c r="J1" s="71" t="s">
        <v>14</v>
      </c>
    </row>
    <row r="2" spans="10:10" ht="14.25" customHeight="1" hidden="1">
      <c r="J2" s="71">
        <v>0</v>
      </c>
    </row>
    <row r="3" spans="10:10" ht="14.25" customHeight="1" hidden="1">
      <c r="J3" s="71">
        <v>0</v>
      </c>
    </row>
    <row r="4" spans="10:10" ht="14.25" customHeight="1" hidden="1">
      <c r="J4" s="71">
        <v>0</v>
      </c>
    </row>
    <row r="5" spans="10:10" ht="14.25" customHeight="1" hidden="1">
      <c r="J5" s="71">
        <v>0</v>
      </c>
    </row>
    <row r="6" spans="3:10" ht="3" customHeight="1">
      <c r="C6" s="94"/>
      <c s="72"/>
      <c s="72"/>
      <c r="J6" s="71">
        <v>3</v>
      </c>
    </row>
    <row r="7" spans="3:10" ht="23.25" customHeight="1">
      <c r="C7" s="94"/>
      <c s="2499" t="s">
        <v>1895</v>
      </c>
      <c s="2500"/>
      <c s="269"/>
      <c r="J7" s="71">
        <v>22</v>
      </c>
    </row>
    <row r="8" spans="3:10" ht="3" customHeight="1">
      <c r="C8" s="94"/>
      <c s="72"/>
      <c s="72"/>
      <c r="J8" s="71">
        <v>3</v>
      </c>
    </row>
    <row r="9" spans="3:10" ht="16.8" customHeight="1">
      <c r="C9" s="94"/>
      <c s="107" t="s">
        <v>87</v>
      </c>
      <c s="262" t="s">
        <v>1896</v>
      </c>
      <c r="J9" s="71">
        <v>16</v>
      </c>
    </row>
    <row r="10" spans="3:10" ht="1.05" customHeight="1">
      <c r="C10" s="94"/>
      <c s="89"/>
      <c s="89"/>
      <c r="J10" s="71">
        <v>1</v>
      </c>
    </row>
    <row r="11" spans="3:10" ht="11.25" customHeight="1" hidden="1">
      <c r="C11" s="94"/>
      <c s="152">
        <v>0</v>
      </c>
      <c s="263"/>
      <c r="J11" s="71">
        <v>0</v>
      </c>
    </row>
    <row r="12" spans="3:10" ht="15.75" customHeight="1">
      <c r="C12" s="138"/>
      <c s="115">
        <v>1</v>
      </c>
      <c s="379"/>
      <c r="J12" s="71">
        <v>15</v>
      </c>
    </row>
    <row r="13" spans="3:10" ht="12.75" customHeight="1">
      <c r="C13" s="94"/>
      <c s="264"/>
      <c s="265" t="s">
        <v>1897</v>
      </c>
      <c r="J13" s="71">
        <v>12</v>
      </c>
    </row>
    <row r="14" spans="10:10" ht="3" customHeight="1">
      <c r="J14" s="71">
        <v>3</v>
      </c>
    </row>
    <row r="15" spans="3:10" ht="23.25" customHeight="1">
      <c r="C15" s="139"/>
      <c s="2501" t="s">
        <v>1898</v>
      </c>
      <c s="2501"/>
      <c s="140"/>
      <c s="140"/>
      <c s="140"/>
      <c s="140"/>
      <c s="71">
        <v>22</v>
      </c>
    </row>
    <row r="16" spans="1:10" ht="14.25" customHeight="1" hidden="1">
      <c r="A16" s="71" t="s">
        <v>81</v>
      </c>
      <c s="71">
        <v>0</v>
      </c>
      <c s="93">
        <v>3</v>
      </c>
      <c s="71">
        <v>6</v>
      </c>
      <c s="71">
        <v>94</v>
      </c>
      <c s="71">
        <v>8</v>
      </c>
      <c s="71">
        <v>8</v>
      </c>
      <c s="71">
        <v>8</v>
      </c>
      <c s="71">
        <v>8</v>
      </c>
      <c s="71">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2C213C-5985-E853-79D9-0.3C89226A}"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6" hidden="1"/>
    <col min="3" max="3" width="3" style="93" customWidth="1"/>
    <col min="4" max="4" width="6" style="266" customWidth="1"/>
    <col min="5" max="5" width="94" style="266" customWidth="1"/>
    <col min="6" max="12" width="8" style="266" customWidth="1"/>
    <col min="13" max="13" width="9.14285714285714" style="266" hidden="1"/>
  </cols>
  <sheetData>
    <row r="1" spans="12:13" ht="14.25" customHeight="1" hidden="1">
      <c r="L1" s="266"/>
      <c s="71" t="s">
        <v>14</v>
      </c>
    </row>
    <row r="2" spans="13:13" ht="14.25" customHeight="1" hidden="1">
      <c r="M2" s="71">
        <v>0</v>
      </c>
    </row>
    <row r="3" spans="13:13" ht="14.25" customHeight="1" hidden="1">
      <c r="M3" s="71">
        <v>0</v>
      </c>
    </row>
    <row r="4" spans="13:13" ht="14.25" customHeight="1" hidden="1">
      <c r="M4" s="71">
        <v>0</v>
      </c>
    </row>
    <row r="5" spans="13:13" ht="14.25" customHeight="1" hidden="1">
      <c r="M5" s="71">
        <v>0</v>
      </c>
    </row>
    <row r="6" spans="3:13" ht="3" customHeight="1">
      <c r="C6" s="94"/>
      <c s="72"/>
      <c s="72"/>
      <c r="M6" s="71">
        <v>3</v>
      </c>
    </row>
    <row r="7" spans="3:13" ht="23.25" customHeight="1">
      <c r="C7" s="94"/>
      <c s="2102" t="s">
        <v>1899</v>
      </c>
      <c s="2102"/>
      <c s="269"/>
      <c r="M7" s="71">
        <v>22</v>
      </c>
    </row>
    <row r="8" spans="3:13" ht="3" customHeight="1">
      <c r="C8" s="94"/>
      <c s="72"/>
      <c s="72"/>
      <c r="M8" s="71">
        <v>3</v>
      </c>
    </row>
    <row r="9" spans="3:13" ht="16.8" customHeight="1">
      <c r="C9" s="94"/>
      <c s="107" t="s">
        <v>87</v>
      </c>
      <c s="110" t="s">
        <v>287</v>
      </c>
      <c r="M9" s="71">
        <v>16</v>
      </c>
    </row>
    <row r="10" spans="3:13" ht="12.75" customHeight="1">
      <c r="C10" s="94"/>
      <c s="89" t="s">
        <v>109</v>
      </c>
      <c s="89" t="s">
        <v>110</v>
      </c>
      <c r="M10" s="71">
        <v>12</v>
      </c>
    </row>
    <row r="11" spans="3:13" ht="15" customHeight="1" hidden="1">
      <c r="C11" s="94"/>
      <c s="115">
        <v>0</v>
      </c>
      <c s="151"/>
      <c r="M11" s="71">
        <v>0</v>
      </c>
    </row>
    <row r="12" spans="3:13" ht="14.7" customHeight="1">
      <c r="C12" s="94"/>
      <c s="111"/>
      <c s="109" t="s">
        <v>1897</v>
      </c>
      <c r="M12" s="71">
        <v>14</v>
      </c>
    </row>
    <row r="13" spans="1:13" ht="14.25" customHeight="1" hidden="1">
      <c r="A13" s="71" t="s">
        <v>81</v>
      </c>
      <c s="71">
        <v>0</v>
      </c>
      <c s="93">
        <v>3</v>
      </c>
      <c s="71">
        <v>6</v>
      </c>
      <c s="71">
        <v>94</v>
      </c>
      <c s="71">
        <v>8</v>
      </c>
      <c s="71">
        <v>8</v>
      </c>
      <c s="71">
        <v>8</v>
      </c>
      <c s="71">
        <v>8</v>
      </c>
      <c s="71">
        <v>8</v>
      </c>
      <c s="71">
        <v>8</v>
      </c>
      <c s="71">
        <v>8</v>
      </c>
      <c s="71">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E6CE5C-98D1-E2C2-ADEF-0.80AAD307}"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2" customWidth="1"/>
    <col min="2" max="2" width="34.5714285714286" style="1852" customWidth="1"/>
    <col min="3" max="3" width="85" style="1852" customWidth="1"/>
    <col min="4" max="4" width="17" style="1852" customWidth="1"/>
    <col min="5" max="5" width="8" style="1852" customWidth="1"/>
    <col min="6" max="6" width="9.14285714285714" style="1852" hidden="1"/>
  </cols>
  <sheetData>
    <row r="1" spans="6:6" ht="3" customHeight="1">
      <c r="F1" s="91" t="s">
        <v>14</v>
      </c>
    </row>
    <row r="2" spans="2:6" ht="22.5" customHeight="1">
      <c r="B2" s="2615" t="s">
        <v>1900</v>
      </c>
      <c s="2502"/>
      <c s="2502"/>
      <c s="270"/>
      <c s="91">
        <v>22</v>
      </c>
    </row>
    <row r="3" spans="6:6" ht="3" customHeight="1">
      <c r="F3" s="91">
        <v>3</v>
      </c>
    </row>
    <row r="4" spans="2:6" ht="23.25" customHeight="1">
      <c r="B4" s="2616" t="s">
        <v>1901</v>
      </c>
      <c s="385" t="s">
        <v>1902</v>
      </c>
      <c s="385" t="s">
        <v>1903</v>
      </c>
      <c r="F4" s="91">
        <v>22</v>
      </c>
    </row>
    <row r="5" spans="1:6" ht="11.25" customHeight="1" hidden="1">
      <c r="A5" s="91" t="s">
        <v>81</v>
      </c>
      <c s="91">
        <v>34</v>
      </c>
      <c s="91">
        <v>85</v>
      </c>
      <c s="91">
        <v>17</v>
      </c>
      <c s="91">
        <v>8</v>
      </c>
      <c s="91">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4EC862B-58E2-2C27-6DD5-0.D5F8F655}"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2" customWidth="1"/>
    <col min="2" max="2" width="10" style="1852" customWidth="1"/>
    <col min="3" max="3" width="9.14285714285714" style="1852"/>
    <col min="4" max="4" width="11.1428571428571" style="1852" customWidth="1"/>
    <col min="5" max="5" width="16.5714285714286" style="1852" customWidth="1"/>
    <col min="6" max="6" width="16.2857142857143" style="1852" customWidth="1"/>
    <col min="7" max="7" width="19.1428571428571" style="1852" customWidth="1"/>
    <col min="8" max="11" width="10" style="1852" customWidth="1"/>
    <col min="12" max="12" width="12.7142857142857" style="1852" customWidth="1"/>
    <col min="13" max="13" width="61.2857142857143" style="1852" customWidth="1"/>
    <col min="14" max="14" width="10" style="1852" customWidth="1"/>
    <col min="15" max="17" width="23.7142857142857" style="1852" customWidth="1"/>
    <col min="18" max="18" width="11.7142857142857" style="1852" customWidth="1"/>
    <col min="19" max="19" width="8.57142857142857" style="1852" customWidth="1"/>
    <col min="20" max="20" width="11.7142857142857" style="1852" customWidth="1"/>
    <col min="21" max="21" width="8.57142857142857" style="1852" customWidth="1"/>
    <col min="22" max="22" width="4.71428571428571" style="1852" customWidth="1"/>
    <col min="23" max="23" width="115.714285714286" style="1852" customWidth="1"/>
    <col min="24" max="24" width="115.285714285714" style="1852" customWidth="1"/>
    <col min="25" max="27" width="9.14285714285714" style="1852"/>
    <col min="28" max="28" width="115.714285714286" style="1852" customWidth="1"/>
    <col min="29" max="29" width="9.14285714285714" style="1852"/>
    <col min="30" max="90" width="115.714285714286" style="1852" customWidth="1"/>
    <col min="91" max="184" width="9.14285714285714" style="1852"/>
  </cols>
  <sheetData>
    <row r="2" spans="1:1" s="1817" customFormat="1" ht="17.25" customHeight="1">
      <c r="A2" s="1817" t="s">
        <v>1904</v>
      </c>
    </row>
    <row r="4" spans="3:5" s="266" customFormat="1" ht="15" customHeight="1">
      <c r="C4" s="1818"/>
      <c s="115"/>
      <c s="379"/>
    </row>
    <row r="6" spans="1:1" s="1817" customFormat="1" ht="17.25" customHeight="1">
      <c r="A6" s="1817" t="s">
        <v>1905</v>
      </c>
    </row>
    <row r="8" spans="3:5" s="266" customFormat="1" ht="17.25" customHeight="1">
      <c r="C8" s="1819"/>
      <c s="115"/>
      <c s="116"/>
    </row>
    <row r="11" spans="1:1" s="1817" customFormat="1" ht="17.25" customHeight="1">
      <c r="A11" s="1817" t="s">
        <v>1906</v>
      </c>
    </row>
    <row r="13" spans="1:19" s="1821" customFormat="1" ht="15" customHeight="1">
      <c r="A13" s="2219">
        <v>1</v>
      </c>
      <c s="1162"/>
      <c s="803" t="s">
        <v>689</v>
      </c>
      <c s="1820"/>
      <c s="1807">
        <f>A13</f>
        <v>1</v>
      </c>
      <c s="806"/>
      <c s="542" t="str">
        <f>"Территория "&amp;E13</f>
        <v>Территория 1</v>
      </c>
      <c s="794"/>
      <c s="794"/>
      <c s="791"/>
      <c s="1626"/>
      <c s="1626"/>
      <c s="1626"/>
      <c s="228"/>
      <c s="1626"/>
      <c s="227"/>
      <c s="227"/>
      <c s="227"/>
      <c s="227"/>
    </row>
    <row r="14" spans="1:80" s="1852" customFormat="1" ht="15" customHeight="1">
      <c r="A14" s="2219"/>
      <c s="1162">
        <v>1</v>
      </c>
      <c s="1162"/>
      <c s="802"/>
      <c s="1815" t="str">
        <f>A13&amp;"."&amp;B14</f>
        <v>1.1</v>
      </c>
      <c s="805">
        <f>$F$20</f>
        <v>0</v>
      </c>
      <c s="795"/>
      <c s="795"/>
      <c s="793"/>
      <c s="1626"/>
      <c s="1638"/>
      <c s="1638"/>
      <c s="1626" t="str">
        <f t="array" ref="M14">IF(ISERROR(MATCH(MID(N14,1,250),MID(note_ter,1,250),0)),"n","y")</f>
        <v>n</v>
      </c>
      <c s="1638"/>
      <c s="1626" t="str">
        <f>H14&amp;"("&amp;I14&amp;")"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row>
    <row r="15" spans="1:80" s="1852" customFormat="1" ht="15" customHeight="1">
      <c r="A15" s="2219"/>
      <c s="1162"/>
      <c s="414"/>
      <c s="803"/>
      <c s="423"/>
      <c s="179"/>
      <c s="417" t="s">
        <v>102</v>
      </c>
      <c s="189"/>
      <c s="426"/>
      <c s="1638"/>
      <c s="1638"/>
      <c s="1638"/>
      <c s="1638"/>
      <c s="1626"/>
      <c s="1638"/>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row>
    <row r="17" spans="1:1" s="1817" customFormat="1" ht="17.25" customHeight="1">
      <c r="A17" s="1817" t="s">
        <v>1907</v>
      </c>
    </row>
    <row r="19" spans="1:80" s="1852" customFormat="1" ht="15" customHeight="1">
      <c r="A19" s="1884"/>
      <c s="1368">
        <v>1</v>
      </c>
      <c s="1368"/>
      <c s="802" t="s">
        <v>689</v>
      </c>
      <c s="1880"/>
      <c s="1885">
        <f>$F$20</f>
        <v>0</v>
      </c>
      <c s="1889"/>
      <c s="1889"/>
      <c s="1887"/>
      <c s="1626"/>
      <c s="1638"/>
      <c s="1638"/>
      <c s="1626" t="str">
        <f t="array" ref="M19">IF(ISERROR(MATCH(MID(N19,1,250),MID(note_ter,1,250),0)),"n","y")</f>
        <v>n</v>
      </c>
      <c s="1638"/>
      <c s="1626" t="str">
        <f>H19&amp;"("&amp;I19&amp;")"</f>
        <v>()</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row>
    <row r="21" spans="1:23" s="1852" customFormat="1" ht="15" customHeight="1">
      <c r="A21" s="1817" t="s">
        <v>1908</v>
      </c>
      <c s="1817"/>
      <c s="1817"/>
      <c s="1817"/>
      <c s="1817"/>
      <c s="1817"/>
      <c s="1817"/>
      <c s="1817"/>
      <c s="1817"/>
      <c s="1817"/>
      <c s="1817"/>
      <c s="1817"/>
      <c s="1817"/>
      <c s="1817"/>
      <c s="1817"/>
      <c s="1817"/>
      <c s="1817"/>
      <c s="1817"/>
      <c s="1817"/>
      <c s="1817"/>
      <c s="186"/>
      <c s="1817"/>
      <c s="1817"/>
    </row>
    <row r="22" spans="21:21" s="1852" customFormat="1" ht="15" customHeight="1">
      <c r="U22" s="187"/>
    </row>
    <row r="23" spans="1:38" s="1855" customFormat="1" ht="15" customHeight="1">
      <c r="A23" s="425"/>
      <c s="425"/>
      <c s="1730" t="s">
        <v>689</v>
      </c>
      <c s="2110" t="s">
        <v>109</v>
      </c>
      <c s="2111"/>
      <c s="2109" t="s">
        <v>19</v>
      </c>
      <c s="2559"/>
      <c s="2129">
        <v>1</v>
      </c>
      <c s="2561" t="str">
        <f>IF(U23="","",INDEX(TERRITORY_MR_LIST,MATCH(U23,TERRITORY_LIST_ID,0)))</f>
        <v/>
      </c>
      <c s="2109" t="s">
        <v>19</v>
      </c>
      <c s="834"/>
      <c s="1784" t="s">
        <v>109</v>
      </c>
      <c s="605"/>
      <c s="606"/>
      <c s="606"/>
      <c s="606"/>
      <c s="606"/>
      <c s="606"/>
      <c s="606"/>
      <c s="606"/>
      <c s="607"/>
      <c s="606"/>
      <c s="606"/>
      <c s="597"/>
      <c s="597" t="s">
        <v>120</v>
      </c>
      <c s="597">
        <v>1705000</v>
      </c>
      <c s="597"/>
      <c s="597"/>
      <c s="597"/>
      <c s="597"/>
      <c s="597"/>
      <c s="597"/>
      <c s="597"/>
      <c s="597"/>
      <c s="597"/>
      <c s="597"/>
      <c s="597"/>
      <c s="597"/>
    </row>
    <row r="24" spans="1:38" s="1855" customFormat="1" ht="15" customHeight="1">
      <c r="A24" s="425"/>
      <c s="425"/>
      <c s="178"/>
      <c s="2110"/>
      <c s="2112"/>
      <c s="2109"/>
      <c s="2560"/>
      <c s="2129"/>
      <c s="2562"/>
      <c s="2109"/>
      <c s="423"/>
      <c s="179"/>
      <c s="609" t="s">
        <v>121</v>
      </c>
      <c s="606"/>
      <c s="606"/>
      <c s="606"/>
      <c s="606"/>
      <c s="606"/>
      <c s="606"/>
      <c s="606"/>
      <c s="607"/>
      <c s="606"/>
      <c s="606"/>
      <c s="597"/>
      <c s="597"/>
      <c s="597"/>
      <c s="597"/>
      <c s="597"/>
      <c s="597"/>
      <c s="597"/>
      <c s="597"/>
      <c s="597"/>
      <c s="597"/>
      <c s="597"/>
      <c s="597"/>
      <c s="597"/>
      <c s="597"/>
      <c s="597"/>
    </row>
    <row r="25" spans="1:38" s="1855" customFormat="1" ht="15" customHeight="1">
      <c r="A25" s="425"/>
      <c s="425"/>
      <c s="178"/>
      <c s="2110"/>
      <c s="2113"/>
      <c s="2109"/>
      <c s="423"/>
      <c s="179"/>
      <c s="582" t="s">
        <v>122</v>
      </c>
      <c s="179"/>
      <c s="179"/>
      <c s="179"/>
      <c s="610"/>
      <c s="606"/>
      <c s="606"/>
      <c s="606"/>
      <c s="606"/>
      <c s="606"/>
      <c s="606"/>
      <c s="606"/>
      <c s="607"/>
      <c s="606"/>
      <c s="606"/>
      <c s="597"/>
      <c s="597"/>
      <c s="597"/>
      <c s="597"/>
      <c s="597"/>
      <c s="597"/>
      <c s="597"/>
      <c s="597"/>
      <c s="597"/>
      <c s="597"/>
      <c s="597"/>
      <c s="597"/>
      <c s="597"/>
      <c s="597"/>
      <c s="597"/>
    </row>
    <row r="26" spans="21:21" s="1852" customFormat="1" ht="15" customHeight="1">
      <c r="U26" s="187"/>
    </row>
    <row r="27" spans="1:23" s="1852" customFormat="1" ht="15" customHeight="1">
      <c r="A27" s="1817" t="s">
        <v>1909</v>
      </c>
      <c s="1817"/>
      <c s="1817"/>
      <c s="1817"/>
      <c s="1817"/>
      <c s="1817"/>
      <c s="1817"/>
      <c s="1817"/>
      <c s="1817"/>
      <c s="1817"/>
      <c s="1817"/>
      <c s="1817"/>
      <c s="1817"/>
      <c s="1817"/>
      <c s="1817"/>
      <c s="1817"/>
      <c s="1817"/>
      <c s="1817"/>
      <c s="1817"/>
      <c s="1817"/>
      <c s="186"/>
      <c s="1817"/>
      <c s="1817"/>
    </row>
    <row r="28" spans="21:21" s="1852" customFormat="1" ht="15" customHeight="1">
      <c r="U28" s="187"/>
    </row>
    <row r="29" spans="1:38" s="1855" customFormat="1" ht="15" customHeight="1">
      <c r="A29" s="425"/>
      <c s="425"/>
      <c s="178"/>
      <c s="1823"/>
      <c s="1823"/>
      <c s="1823"/>
      <c s="2563" t="s">
        <v>689</v>
      </c>
      <c s="2105">
        <v>1</v>
      </c>
      <c s="2564" t="str">
        <f>IF(U29="","",INDEX(TERRITORY_MR_LIST,MATCH(U29,TERRITORY_LIST_ID,0)))</f>
        <v/>
      </c>
      <c s="2109" t="s">
        <v>19</v>
      </c>
      <c s="834"/>
      <c s="1784" t="s">
        <v>109</v>
      </c>
      <c s="605"/>
      <c s="606"/>
      <c s="606"/>
      <c s="606"/>
      <c s="606"/>
      <c s="606"/>
      <c s="606"/>
      <c s="606"/>
      <c s="607"/>
      <c s="606"/>
      <c s="606"/>
      <c s="597"/>
      <c s="597" t="s">
        <v>120</v>
      </c>
      <c s="597">
        <v>1705000</v>
      </c>
      <c s="597"/>
      <c s="597"/>
      <c s="597"/>
      <c s="597"/>
      <c s="597"/>
      <c s="597"/>
      <c s="597"/>
      <c s="597"/>
      <c s="597"/>
      <c s="597"/>
      <c s="597"/>
      <c s="597"/>
    </row>
    <row r="30" spans="1:38" s="1855" customFormat="1" ht="15" customHeight="1">
      <c r="A30" s="425"/>
      <c s="425"/>
      <c s="178"/>
      <c s="1823"/>
      <c s="1823"/>
      <c s="1823"/>
      <c s="2563"/>
      <c s="2105"/>
      <c s="2564"/>
      <c s="2109"/>
      <c s="423"/>
      <c s="179"/>
      <c s="609" t="s">
        <v>121</v>
      </c>
      <c s="606"/>
      <c s="606"/>
      <c s="606"/>
      <c s="606"/>
      <c s="606"/>
      <c s="606"/>
      <c s="606"/>
      <c s="607"/>
      <c s="606"/>
      <c s="606"/>
      <c s="597"/>
      <c s="597"/>
      <c s="597"/>
      <c s="597"/>
      <c s="597"/>
      <c s="597"/>
      <c s="597"/>
      <c s="597"/>
      <c s="597"/>
      <c s="597"/>
      <c s="597"/>
      <c s="597"/>
      <c s="597"/>
      <c s="597"/>
      <c s="597"/>
    </row>
    <row r="31" spans="21:21" s="1852" customFormat="1" ht="15" customHeight="1">
      <c r="U31" s="187"/>
    </row>
    <row r="32" spans="1:23" s="1852" customFormat="1" ht="15" customHeight="1">
      <c r="A32" s="1817" t="s">
        <v>1910</v>
      </c>
      <c s="1817"/>
      <c s="1817"/>
      <c s="1817"/>
      <c s="1817"/>
      <c s="1817"/>
      <c s="1817"/>
      <c s="1817"/>
      <c s="1817"/>
      <c s="1817"/>
      <c s="1817"/>
      <c s="1817"/>
      <c s="1817"/>
      <c s="1817"/>
      <c s="1817"/>
      <c s="1817"/>
      <c s="1817"/>
      <c s="1817"/>
      <c s="1817"/>
      <c s="1817"/>
      <c s="186"/>
      <c s="1817"/>
      <c s="1817"/>
    </row>
    <row r="33" spans="21:21" s="1852" customFormat="1" ht="15" customHeight="1">
      <c r="U33" s="187"/>
    </row>
    <row r="34" spans="1:38" s="1855" customFormat="1" ht="15" customHeight="1">
      <c r="A34" s="425"/>
      <c s="425"/>
      <c s="178"/>
      <c s="1823"/>
      <c s="1823"/>
      <c s="1823"/>
      <c s="1823"/>
      <c s="1823"/>
      <c s="1823"/>
      <c s="1823"/>
      <c s="1801" t="s">
        <v>689</v>
      </c>
      <c s="1731" t="s">
        <v>109</v>
      </c>
      <c s="813"/>
      <c s="814"/>
      <c s="606"/>
      <c s="606"/>
      <c s="606"/>
      <c s="606"/>
      <c s="606"/>
      <c s="606"/>
      <c s="607"/>
      <c s="606"/>
      <c s="606"/>
      <c s="597"/>
      <c s="597" t="s">
        <v>120</v>
      </c>
      <c s="597">
        <v>1705000</v>
      </c>
      <c s="597"/>
      <c s="597"/>
      <c s="597"/>
      <c s="597"/>
      <c s="597"/>
      <c s="597"/>
      <c s="597"/>
      <c s="597"/>
      <c s="597"/>
      <c s="597"/>
      <c s="597"/>
      <c s="597"/>
    </row>
    <row r="35" spans="21:21" s="1852" customFormat="1" ht="15" customHeight="1">
      <c r="U35" s="187"/>
    </row>
    <row r="36" spans="21:21" s="1852" customFormat="1" ht="15" customHeight="1">
      <c r="U36" s="187"/>
    </row>
    <row r="37" spans="1:1" s="1817" customFormat="1" ht="11.25" customHeight="1">
      <c r="A37" s="1817" t="s">
        <v>1911</v>
      </c>
    </row>
    <row r="38" ht="11.25" customHeight="1"/>
    <row r="39" spans="1:8" s="457" customFormat="1" ht="22.5" customHeight="1">
      <c r="A39" s="1793"/>
      <c s="459"/>
      <c s="861"/>
      <c s="442"/>
      <c s="862"/>
      <c s="1814"/>
      <c s="1824"/>
      <c s="477"/>
    </row>
    <row r="40" ht="11.25" customHeight="1"/>
    <row r="41" spans="1:1" s="1817" customFormat="1" ht="11.25" customHeight="1">
      <c r="A41" s="1817" t="s">
        <v>1912</v>
      </c>
    </row>
    <row r="42" ht="11.25" customHeight="1"/>
    <row r="43" spans="1:8" s="457" customFormat="1" ht="22.5" customHeight="1">
      <c r="A43" s="459"/>
      <c s="459"/>
      <c s="459"/>
      <c s="442"/>
      <c s="862"/>
      <c s="863"/>
      <c s="1824"/>
      <c s="477"/>
    </row>
    <row r="44" ht="11.25" customHeight="1"/>
    <row r="45" spans="1:1" s="1817" customFormat="1" ht="11.25" customHeight="1">
      <c r="A45" s="1817" t="s">
        <v>1913</v>
      </c>
    </row>
    <row r="46" ht="11.25" customHeight="1"/>
    <row r="47" spans="1:9" s="457" customFormat="1" ht="24" customHeight="1">
      <c r="A47" s="2204" t="s">
        <v>313</v>
      </c>
      <c s="504"/>
      <c s="2215"/>
      <c s="447" t="str">
        <f>A47</f>
        <v>5.1</v>
      </c>
      <c s="444" t="s">
        <v>314</v>
      </c>
      <c s="1978" t="s">
        <v>306</v>
      </c>
      <c s="446" t="s">
        <v>315</v>
      </c>
      <c s="477"/>
      <c s="854"/>
    </row>
    <row r="48" spans="1:9" s="457" customFormat="1" ht="22.5" customHeight="1">
      <c r="A48" s="2204"/>
      <c s="504"/>
      <c s="2215"/>
      <c s="442" t="str">
        <f>D47&amp;".1"</f>
        <v>5.1.1</v>
      </c>
      <c s="441" t="s">
        <v>316</v>
      </c>
      <c s="1979" t="s">
        <v>22</v>
      </c>
      <c s="476"/>
      <c s="477"/>
      <c s="854"/>
    </row>
    <row r="49" spans="1:9" s="457" customFormat="1" ht="22.5" customHeight="1">
      <c r="A49" s="2204"/>
      <c s="504"/>
      <c s="2215"/>
      <c s="442" t="str">
        <f>D47&amp;".2"</f>
        <v>5.1.2</v>
      </c>
      <c s="441" t="s">
        <v>317</v>
      </c>
      <c s="1734" t="s">
        <v>22</v>
      </c>
      <c s="446" t="s">
        <v>318</v>
      </c>
      <c s="477"/>
      <c s="854"/>
    </row>
    <row r="50" spans="1:9" s="457" customFormat="1" ht="22.5" customHeight="1">
      <c r="A50" s="2204"/>
      <c s="504"/>
      <c s="2215"/>
      <c s="442" t="str">
        <f>D47&amp;".3"</f>
        <v>5.1.3</v>
      </c>
      <c s="441" t="s">
        <v>319</v>
      </c>
      <c s="1979" t="s">
        <v>22</v>
      </c>
      <c s="476"/>
      <c s="477"/>
      <c s="854"/>
    </row>
    <row r="51" spans="1:9" s="457" customFormat="1" ht="22.5" customHeight="1">
      <c r="A51" s="2204"/>
      <c s="504"/>
      <c s="2215"/>
      <c s="442" t="str">
        <f>D47&amp;".4"</f>
        <v>5.1.4</v>
      </c>
      <c s="441" t="s">
        <v>320</v>
      </c>
      <c s="1979" t="s">
        <v>22</v>
      </c>
      <c s="446" t="s">
        <v>321</v>
      </c>
      <c s="477"/>
      <c s="854"/>
    </row>
    <row r="54" spans="1:1" s="1817" customFormat="1" ht="17.25" customHeight="1">
      <c r="A54" s="1817" t="s">
        <v>1914</v>
      </c>
    </row>
    <row r="56" spans="1:22" s="1614" customFormat="1" ht="18.75" customHeight="1">
      <c r="A56" s="91"/>
      <c s="1825"/>
      <c s="1825"/>
      <c s="1826"/>
      <c s="1811"/>
      <c s="870">
        <v>13</v>
      </c>
      <c s="869"/>
      <c s="795"/>
      <c s="793"/>
      <c s="522" t="s">
        <v>65</v>
      </c>
      <c s="1827" t="s">
        <v>22</v>
      </c>
      <c s="91"/>
      <c s="1638"/>
      <c s="1638"/>
      <c s="1638"/>
      <c s="518" t="s">
        <v>392</v>
      </c>
      <c s="518" t="s">
        <v>393</v>
      </c>
      <c s="519" t="s">
        <v>394</v>
      </c>
      <c s="1638" t="s">
        <v>395</v>
      </c>
      <c s="1638"/>
      <c s="1638"/>
      <c s="1638"/>
    </row>
    <row r="58" spans="1:1" s="1817" customFormat="1" ht="11.25" customHeight="1">
      <c r="A58" s="1817" t="s">
        <v>1915</v>
      </c>
    </row>
    <row r="60" spans="3:45" s="1637" customFormat="1" ht="14.25" customHeight="1">
      <c r="C60" s="1690"/>
      <c s="1871"/>
      <c s="1779" t="s">
        <v>22</v>
      </c>
      <c s="1870"/>
      <c s="858"/>
      <c s="1780"/>
      <c s="1780"/>
      <c s="435"/>
      <c s="1865"/>
      <c s="434"/>
      <c s="1865"/>
      <c s="435"/>
      <c s="1865"/>
      <c s="435"/>
      <c s="1865"/>
      <c s="435"/>
      <c s="856"/>
      <c s="1780"/>
      <c s="435"/>
      <c s="435"/>
      <c s="1869"/>
      <c s="1780"/>
      <c s="435"/>
      <c s="435"/>
      <c s="1869"/>
      <c s="1780"/>
      <c s="435"/>
      <c s="1869"/>
      <c s="91"/>
      <c s="91"/>
      <c s="91"/>
      <c s="91"/>
      <c r="AJ60" s="1638"/>
      <c s="1638"/>
      <c s="1638"/>
      <c s="1638"/>
      <c s="1638"/>
      <c s="1638"/>
      <c s="1626" t="s">
        <v>381</v>
      </c>
      <c s="1626" t="s">
        <v>381</v>
      </c>
      <c s="1638"/>
      <c s="1638"/>
    </row>
    <row r="62" spans="1:1" s="1817" customFormat="1" ht="11.25" customHeight="1">
      <c r="A62" s="1817" t="s">
        <v>1916</v>
      </c>
    </row>
    <row r="64" spans="1:12" s="1825" customFormat="1" ht="15" customHeight="1">
      <c r="A64" s="147" t="s">
        <v>89</v>
      </c>
      <c s="127" t="s">
        <v>22</v>
      </c>
      <c s="1828"/>
      <c s="130"/>
      <c s="383"/>
      <c s="383"/>
      <c s="1805"/>
      <c s="1827"/>
      <c s="1806"/>
      <c r="K64" s="274"/>
      <c s="275"/>
    </row>
    <row r="66" spans="1:1" s="1817" customFormat="1" ht="11.25" customHeight="1">
      <c r="A66" s="1817" t="s">
        <v>1917</v>
      </c>
    </row>
    <row r="68" spans="1:10" s="1637" customFormat="1" ht="14.25" customHeight="1">
      <c r="A68" s="345"/>
      <c s="1162"/>
      <c s="378"/>
      <c s="1812"/>
      <c s="888"/>
      <c s="1827"/>
      <c s="91"/>
      <c r="I68" s="1626"/>
      <c s="1626"/>
    </row>
    <row r="70" spans="1:1" s="1817" customFormat="1" ht="11.25" customHeight="1">
      <c r="A70" s="1817" t="s">
        <v>1918</v>
      </c>
    </row>
    <row r="72" spans="1:30" s="1637" customFormat="1" ht="27" customHeight="1">
      <c r="A72" s="1168"/>
      <c s="1168"/>
      <c s="1168"/>
      <c s="1162"/>
      <c s="1829"/>
      <c s="2583"/>
      <c s="2584"/>
      <c s="2585" t="s">
        <v>65</v>
      </c>
      <c s="2587"/>
      <c s="2550"/>
      <c s="2589"/>
      <c s="2552"/>
      <c s="2552"/>
      <c s="2553"/>
      <c s="2553"/>
      <c s="2554">
        <f>DATEDIF(DATEVALUE(N72),DATEVALUE(O72),"y")&amp;"г. "&amp;DATEDIF(DATEVALUE(N72),DATEVALUE(O72),"ym")&amp;"мес. "&amp;DATEVALUE(O72)-DATE(YEAR(DATEVALUE(O72)),MONTH(DATEVALUE(O72)),1)&amp;"дн. "</f>
      </c>
      <c s="2549"/>
      <c s="2549"/>
      <c s="2549"/>
      <c s="2550"/>
      <c s="2549"/>
      <c s="2549"/>
      <c s="2549"/>
      <c s="2550"/>
      <c s="2547" t="s">
        <v>65</v>
      </c>
      <c s="1810"/>
      <c s="1794">
        <v>1</v>
      </c>
      <c s="1244"/>
      <c r="AD72" s="1638" t="s">
        <v>1919</v>
      </c>
    </row>
    <row r="73" spans="1:28" s="1637" customFormat="1" ht="10.5" customHeight="1">
      <c r="A73" s="1168"/>
      <c s="1168"/>
      <c s="1168"/>
      <c s="1162"/>
      <c s="949"/>
      <c s="2583"/>
      <c s="2584"/>
      <c s="2586"/>
      <c s="2588"/>
      <c s="2551"/>
      <c s="2589"/>
      <c s="2552"/>
      <c s="2552"/>
      <c s="2553"/>
      <c s="2553"/>
      <c s="2554"/>
      <c s="2549"/>
      <c s="2549"/>
      <c s="2549"/>
      <c s="2551"/>
      <c s="2549"/>
      <c s="2549"/>
      <c s="2549"/>
      <c s="2551"/>
      <c s="2548"/>
      <c s="349"/>
      <c s="574"/>
      <c s="654" t="s">
        <v>1920</v>
      </c>
    </row>
    <row r="75" spans="1:1" s="1817" customFormat="1" ht="11.25" customHeight="1">
      <c r="A75" s="1817" t="s">
        <v>1921</v>
      </c>
    </row>
    <row r="77" spans="1:30" s="1637" customFormat="1" ht="27" customHeight="1">
      <c r="A77" s="1168"/>
      <c s="1168"/>
      <c s="1168"/>
      <c s="1162"/>
      <c s="1829"/>
      <c s="1799"/>
      <c s="1749"/>
      <c s="1750"/>
      <c s="1751"/>
      <c s="1752"/>
      <c s="1753"/>
      <c s="1754"/>
      <c s="1754"/>
      <c s="1755"/>
      <c s="1755"/>
      <c s="1756"/>
      <c s="1757"/>
      <c s="1757"/>
      <c s="1757"/>
      <c s="1752"/>
      <c s="1757"/>
      <c s="1757"/>
      <c s="1757"/>
      <c s="1752"/>
      <c s="1750"/>
      <c s="1810"/>
      <c s="1794">
        <v>1</v>
      </c>
      <c s="1244"/>
      <c r="AD77" s="1638" t="s">
        <v>1919</v>
      </c>
    </row>
    <row r="79" spans="1:1" s="1817" customFormat="1" ht="11.25" customHeight="1">
      <c r="A79" s="1817" t="s">
        <v>1922</v>
      </c>
    </row>
    <row r="80" ht="17.25" customHeight="1" thickBot="1"/>
    <row r="81" spans="1:58" s="1637" customFormat="1" ht="21" customHeight="1">
      <c r="A81" s="1169"/>
      <c s="1168"/>
      <c s="1168"/>
      <c s="1162"/>
      <c s="1172"/>
      <c s="1124">
        <f>INDEX(IP_MAIN_LIST_NAME_IP,MATCH(A81,IP_MAIN_LIST_IP_ID,0))&amp;" ("&amp;INDEX(IP_MAIN_START_DATE,MATCH(A81,IP_MAIN_LIST_IP_ID,0))&amp;"-"&amp;INDEX(IP_MAIN_END_DATE,MATCH(A81,IP_MAIN_LIST_IP_ID,0))&amp;")"</f>
      </c>
      <c s="1125"/>
      <c s="1125"/>
      <c s="1187"/>
      <c s="1187"/>
      <c s="1188"/>
      <c s="1188"/>
      <c s="1188"/>
      <c s="1189"/>
      <c s="1189"/>
      <c s="1189"/>
      <c s="1189"/>
      <c s="1189"/>
      <c s="1189"/>
      <c s="1189"/>
      <c s="1189"/>
      <c s="1189"/>
      <c s="1189"/>
      <c s="1189"/>
      <c s="1189"/>
      <c s="1189"/>
      <c s="1189"/>
      <c s="1189"/>
      <c s="1189"/>
      <c s="1189"/>
      <c s="1190"/>
      <c s="1188"/>
      <c s="1188"/>
      <c s="1188"/>
      <c s="1188"/>
      <c s="1188"/>
      <c s="1188"/>
      <c s="1990"/>
      <c s="1825"/>
      <c s="1825"/>
      <c s="1825"/>
      <c s="1825"/>
      <c s="1825"/>
      <c s="1825"/>
      <c s="1825"/>
      <c s="1825"/>
      <c s="1825"/>
      <c s="1825"/>
      <c s="1825"/>
      <c s="1825"/>
      <c s="1825"/>
      <c s="1825"/>
      <c s="1825"/>
      <c s="1825"/>
      <c s="1825"/>
      <c s="1825"/>
      <c s="1825"/>
      <c s="1825"/>
    </row>
    <row r="82" spans="1:58" s="1637" customFormat="1" ht="0.75" customHeight="1">
      <c r="A82" s="1168"/>
      <c s="1168"/>
      <c s="1168"/>
      <c s="1162"/>
      <c s="1172"/>
      <c s="2538"/>
      <c s="2517"/>
      <c s="2542" t="s">
        <v>376</v>
      </c>
      <c s="2543"/>
      <c s="2544"/>
      <c s="2544"/>
      <c s="2536"/>
      <c s="2270"/>
      <c s="2038"/>
      <c s="2037"/>
      <c s="2038"/>
      <c s="2038"/>
      <c s="2038"/>
      <c s="2038"/>
      <c s="2038"/>
      <c s="2038"/>
      <c s="2038"/>
      <c s="2038"/>
      <c s="2038"/>
      <c s="2038"/>
      <c s="2038"/>
      <c s="2038"/>
      <c s="2038"/>
      <c s="2038"/>
      <c s="2038"/>
      <c s="2038"/>
      <c s="2540"/>
      <c s="2536"/>
      <c s="2536"/>
      <c s="2540"/>
      <c s="2536"/>
      <c s="2536"/>
      <c s="1990"/>
      <c s="1825"/>
      <c s="1825"/>
      <c s="1825"/>
      <c s="1825"/>
      <c s="1825"/>
      <c s="1825"/>
      <c s="1825"/>
      <c s="1825"/>
      <c s="1825"/>
      <c s="1825"/>
      <c s="1825"/>
      <c s="1825"/>
      <c s="1825"/>
      <c s="1825"/>
      <c s="1825"/>
      <c s="1825"/>
      <c s="1825"/>
      <c s="1825"/>
      <c s="1825"/>
      <c s="1825"/>
    </row>
    <row r="83" spans="1:58" s="1637" customFormat="1" ht="0.75" customHeight="1">
      <c r="A83" s="1168"/>
      <c s="1168"/>
      <c s="1168"/>
      <c s="1162"/>
      <c s="1172"/>
      <c s="2538"/>
      <c s="2517"/>
      <c s="2542"/>
      <c s="2543"/>
      <c s="2544"/>
      <c s="2544"/>
      <c s="2536"/>
      <c s="2270"/>
      <c s="2545"/>
      <c s="2546"/>
      <c s="2590"/>
      <c s="2541"/>
      <c s="2541"/>
      <c s="2541"/>
      <c s="2541"/>
      <c s="2541"/>
      <c s="2541"/>
      <c s="2541"/>
      <c s="2541"/>
      <c s="2541"/>
      <c s="2039"/>
      <c s="2040"/>
      <c s="2040"/>
      <c s="2041"/>
      <c s="2041"/>
      <c s="2042"/>
      <c s="2540"/>
      <c s="2536"/>
      <c s="2536"/>
      <c s="2540"/>
      <c s="2536"/>
      <c s="2536"/>
      <c s="1990"/>
      <c s="1825"/>
      <c s="1825"/>
      <c s="1825"/>
      <c s="1825"/>
      <c s="1825"/>
      <c s="1825"/>
      <c s="1825"/>
      <c s="1825"/>
      <c s="1825"/>
      <c s="1825"/>
      <c s="1825"/>
      <c s="1825"/>
      <c s="1825"/>
      <c s="1825"/>
      <c s="1825"/>
      <c s="1825"/>
      <c s="1825"/>
      <c s="1825"/>
      <c s="1825"/>
      <c s="1825"/>
    </row>
    <row r="84" spans="1:58" s="1637" customFormat="1" ht="0.75" customHeight="1">
      <c r="A84" s="1168"/>
      <c s="1168"/>
      <c s="1168"/>
      <c s="1162"/>
      <c s="1172"/>
      <c s="2538"/>
      <c s="2517"/>
      <c s="2542"/>
      <c s="2543"/>
      <c s="2544"/>
      <c s="2544"/>
      <c s="2536"/>
      <c s="2270"/>
      <c s="2545"/>
      <c s="2546"/>
      <c s="2591"/>
      <c s="2541"/>
      <c s="2541"/>
      <c s="2541"/>
      <c s="2541"/>
      <c s="2541"/>
      <c s="2541"/>
      <c s="2541"/>
      <c s="2541"/>
      <c s="2541"/>
      <c s="2043"/>
      <c s="2044"/>
      <c s="2045"/>
      <c s="2046"/>
      <c s="2045"/>
      <c s="2046"/>
      <c s="2540"/>
      <c s="2536"/>
      <c s="2536"/>
      <c s="2540"/>
      <c s="2536"/>
      <c s="2536"/>
      <c s="1990"/>
      <c s="1825"/>
      <c s="1825"/>
      <c s="1825"/>
      <c s="1825"/>
      <c s="1825"/>
      <c s="1825"/>
      <c s="1825"/>
      <c s="1825"/>
      <c s="1825"/>
      <c s="1825"/>
      <c s="1825"/>
      <c s="1825"/>
      <c s="1825"/>
      <c s="1825"/>
      <c s="1825"/>
      <c s="1825"/>
      <c s="1825"/>
      <c s="1825"/>
      <c s="1825"/>
      <c s="1825"/>
    </row>
    <row r="85" spans="1:58" s="1637" customFormat="1" ht="0.75" customHeight="1">
      <c r="A85" s="1168"/>
      <c s="1168"/>
      <c s="1168"/>
      <c s="1162"/>
      <c s="1172"/>
      <c s="2538"/>
      <c s="2517"/>
      <c s="2542"/>
      <c s="2543"/>
      <c s="2544"/>
      <c s="2544"/>
      <c s="2536"/>
      <c s="2270"/>
      <c s="2545"/>
      <c s="2546"/>
      <c s="2592"/>
      <c s="2541"/>
      <c s="2541"/>
      <c s="2541"/>
      <c s="2541"/>
      <c s="2541"/>
      <c s="2541"/>
      <c s="2541"/>
      <c s="2541"/>
      <c s="2541"/>
      <c s="2039"/>
      <c s="2040"/>
      <c s="2047"/>
      <c s="2041"/>
      <c s="2041"/>
      <c s="2048"/>
      <c s="2540"/>
      <c s="2536"/>
      <c s="2536"/>
      <c s="2540"/>
      <c s="2536"/>
      <c s="2536"/>
      <c s="1990"/>
      <c s="1825"/>
      <c s="1825"/>
      <c s="1825"/>
      <c s="1825"/>
      <c s="1825"/>
      <c s="1825"/>
      <c s="1825"/>
      <c s="1825"/>
      <c s="1825"/>
      <c s="1825"/>
      <c s="1825"/>
      <c s="1825"/>
      <c s="1825"/>
      <c s="1825"/>
      <c s="1825"/>
      <c s="1825"/>
      <c s="1825"/>
      <c s="1825"/>
      <c s="1825"/>
      <c s="1825"/>
    </row>
    <row r="86" spans="1:58" s="1637" customFormat="1" ht="0.75" customHeight="1">
      <c r="A86" s="1168"/>
      <c s="1168"/>
      <c s="1168"/>
      <c s="1162"/>
      <c s="1172"/>
      <c s="2538"/>
      <c s="2517"/>
      <c s="2542"/>
      <c s="2543"/>
      <c s="2544"/>
      <c s="2544"/>
      <c s="2536"/>
      <c s="2270"/>
      <c s="2040"/>
      <c s="2040"/>
      <c s="2047"/>
      <c s="2040"/>
      <c s="2040"/>
      <c s="2040"/>
      <c s="2040"/>
      <c s="2040"/>
      <c s="2040"/>
      <c s="2040"/>
      <c s="2040"/>
      <c s="2040"/>
      <c s="2040"/>
      <c s="2040"/>
      <c s="2040"/>
      <c s="2040"/>
      <c s="2040"/>
      <c s="2049"/>
      <c s="2540"/>
      <c s="2536"/>
      <c s="2536"/>
      <c s="2540"/>
      <c s="2536"/>
      <c s="2536"/>
      <c s="1990"/>
      <c s="1825"/>
      <c s="1825"/>
      <c s="1825"/>
      <c s="1825"/>
      <c s="1825"/>
      <c s="1825"/>
      <c s="1825"/>
      <c s="1825"/>
      <c s="1825"/>
      <c s="1825"/>
      <c s="1825"/>
      <c s="1825"/>
      <c s="1825"/>
      <c s="1825"/>
      <c s="1825"/>
      <c s="1825"/>
      <c s="1825"/>
      <c s="1825"/>
      <c s="1825"/>
      <c s="1825"/>
    </row>
    <row r="87" spans="1:58" s="1637" customFormat="1" ht="12" customHeight="1" thickBot="1">
      <c r="A87" s="1168"/>
      <c s="1168"/>
      <c s="1168"/>
      <c s="1162"/>
      <c s="1172"/>
      <c s="2539"/>
      <c s="1192"/>
      <c s="1192"/>
      <c s="2537" t="s">
        <v>1923</v>
      </c>
      <c s="2537"/>
      <c s="2537"/>
      <c s="1175"/>
      <c s="1175"/>
      <c s="1176"/>
      <c s="1176"/>
      <c s="1176"/>
      <c s="1176"/>
      <c s="1176"/>
      <c s="1176"/>
      <c s="1176"/>
      <c s="1176"/>
      <c s="1176"/>
      <c s="1176"/>
      <c s="1176"/>
      <c s="1176"/>
      <c s="1176"/>
      <c s="1176"/>
      <c s="1176"/>
      <c s="1176"/>
      <c s="1176"/>
      <c s="1176"/>
      <c s="1176"/>
      <c s="1175"/>
      <c s="1175"/>
      <c s="1176"/>
      <c s="1175"/>
      <c s="1176"/>
      <c s="1990"/>
      <c s="1825"/>
      <c s="1825"/>
      <c s="1825"/>
      <c s="1825"/>
      <c s="1825"/>
      <c s="1825"/>
      <c s="1825"/>
      <c s="1825"/>
      <c s="1825"/>
      <c s="1825"/>
      <c s="1825"/>
      <c s="1825"/>
      <c s="1825"/>
      <c s="1825"/>
      <c s="1825"/>
      <c s="1825"/>
      <c s="1825"/>
      <c s="1825"/>
      <c s="1825"/>
      <c s="1825"/>
    </row>
    <row r="89" spans="1:1" s="1817" customFormat="1" ht="11.25" customHeight="1">
      <c r="A89" s="1817" t="s">
        <v>1924</v>
      </c>
    </row>
    <row r="91" spans="1:58" s="1637" customFormat="1" ht="11.25" customHeight="1">
      <c r="A91" s="1168"/>
      <c s="1168"/>
      <c s="1168"/>
      <c s="1162"/>
      <c s="1172"/>
      <c s="1831"/>
      <c s="1832"/>
      <c s="1832"/>
      <c s="1766"/>
      <c s="1766"/>
      <c s="1833"/>
      <c s="1766"/>
      <c s="1832"/>
      <c s="2510"/>
      <c s="2593">
        <v>1</v>
      </c>
      <c s="2512" t="s">
        <v>19</v>
      </c>
      <c s="2515" t="s">
        <v>22</v>
      </c>
      <c s="2515" t="s">
        <v>22</v>
      </c>
      <c s="2515" t="s">
        <v>22</v>
      </c>
      <c s="2515" t="s">
        <v>22</v>
      </c>
      <c s="2515" t="s">
        <v>22</v>
      </c>
      <c s="2515" t="s">
        <v>22</v>
      </c>
      <c s="2515" t="s">
        <v>22</v>
      </c>
      <c s="2515" t="s">
        <v>22</v>
      </c>
      <c s="2515"/>
      <c s="1177"/>
      <c s="1178"/>
      <c s="1178"/>
      <c s="1182"/>
      <c s="1182"/>
      <c s="1182"/>
      <c s="1834"/>
      <c s="1761"/>
      <c s="1761"/>
      <c s="1834"/>
      <c s="1761"/>
      <c s="1989"/>
      <c s="1990"/>
      <c s="1825"/>
      <c s="1825"/>
      <c s="1825"/>
      <c s="1825"/>
      <c s="1825"/>
      <c s="1825"/>
      <c s="1825"/>
      <c s="1825"/>
      <c s="1825"/>
      <c s="1825"/>
      <c s="1825"/>
      <c s="1825"/>
      <c s="1825"/>
      <c s="1825"/>
      <c s="1825"/>
      <c s="1825"/>
      <c s="1825"/>
      <c s="1825"/>
      <c s="1825"/>
      <c s="1825"/>
    </row>
    <row r="92" spans="1:58" s="1637" customFormat="1" ht="11.25" customHeight="1">
      <c r="A92" s="1168"/>
      <c s="1168"/>
      <c s="1168"/>
      <c s="1162"/>
      <c s="1172"/>
      <c s="1831"/>
      <c s="1832"/>
      <c s="1832"/>
      <c s="1767"/>
      <c s="1767"/>
      <c s="1833"/>
      <c s="1767"/>
      <c s="1832"/>
      <c s="2510"/>
      <c s="2593"/>
      <c s="2513"/>
      <c s="2515"/>
      <c s="2515"/>
      <c s="2516"/>
      <c s="2515"/>
      <c s="2515"/>
      <c s="2515"/>
      <c s="2515"/>
      <c s="2515"/>
      <c s="2515"/>
      <c s="1830"/>
      <c s="1796">
        <v>1</v>
      </c>
      <c s="1181"/>
      <c s="1171"/>
      <c s="1181">
        <f>AB92</f>
        <v>0</v>
      </c>
      <c s="726"/>
      <c s="1833"/>
      <c s="1761"/>
      <c s="1761"/>
      <c s="1833"/>
      <c s="1761"/>
      <c s="1989"/>
      <c s="1990"/>
      <c s="1825"/>
      <c s="1825"/>
      <c s="1825"/>
      <c s="1825"/>
      <c s="1825"/>
      <c s="1825"/>
      <c s="1825"/>
      <c s="1825"/>
      <c s="1825"/>
      <c s="1825"/>
      <c s="1825"/>
      <c s="1825"/>
      <c s="1825"/>
      <c s="1825"/>
      <c s="1825"/>
      <c s="1825"/>
      <c s="1825"/>
      <c s="1825"/>
      <c s="1825"/>
      <c s="1825"/>
    </row>
    <row r="93" spans="1:58" s="1637" customFormat="1" ht="11.25" customHeight="1">
      <c r="A93" s="1168"/>
      <c s="1168"/>
      <c s="1168"/>
      <c s="1162"/>
      <c s="1172"/>
      <c s="1831"/>
      <c s="1832"/>
      <c s="1832"/>
      <c s="1768"/>
      <c s="1768"/>
      <c s="1833"/>
      <c s="1768"/>
      <c s="1832"/>
      <c s="2510"/>
      <c s="2593"/>
      <c s="2514"/>
      <c s="2515"/>
      <c s="2515"/>
      <c s="2516"/>
      <c s="2515"/>
      <c s="2515"/>
      <c s="2515"/>
      <c s="2515"/>
      <c s="2515"/>
      <c s="2515"/>
      <c s="1177"/>
      <c s="1178"/>
      <c s="1243" t="s">
        <v>1925</v>
      </c>
      <c s="1182"/>
      <c s="1182"/>
      <c s="1182"/>
      <c s="1835"/>
      <c s="1761"/>
      <c s="1761"/>
      <c s="1835"/>
      <c s="1761"/>
      <c s="1989"/>
      <c s="1990"/>
      <c s="1825"/>
      <c s="1825"/>
      <c s="1825"/>
      <c s="1825"/>
      <c s="1825"/>
      <c s="1825"/>
      <c s="1825"/>
      <c s="1825"/>
      <c s="1825"/>
      <c s="1825"/>
      <c s="1825"/>
      <c s="1825"/>
      <c s="1825"/>
      <c s="1825"/>
      <c s="1825"/>
      <c s="1825"/>
      <c s="1825"/>
      <c s="1825"/>
      <c s="1825"/>
      <c s="1825"/>
    </row>
    <row r="95" spans="1:1" s="1817" customFormat="1" ht="11.25" customHeight="1">
      <c r="A95" s="1817" t="s">
        <v>1926</v>
      </c>
    </row>
    <row r="97" spans="1:58" s="1637" customFormat="1" ht="11.25" customHeight="1">
      <c r="A97" s="1168"/>
      <c s="1168"/>
      <c s="1168"/>
      <c s="1162"/>
      <c s="1172"/>
      <c s="1832"/>
      <c s="1832"/>
      <c s="1832"/>
      <c s="1832"/>
      <c s="1832"/>
      <c s="1832"/>
      <c s="1832"/>
      <c s="1832"/>
      <c s="1832"/>
      <c s="1832"/>
      <c s="1832"/>
      <c s="1832"/>
      <c s="1832"/>
      <c s="1832"/>
      <c s="1832"/>
      <c s="1832"/>
      <c s="1832"/>
      <c s="1832"/>
      <c s="1832"/>
      <c s="1832"/>
      <c s="1836"/>
      <c s="1816">
        <v>1</v>
      </c>
      <c s="1181"/>
      <c s="1171"/>
      <c s="1181">
        <f>AB97</f>
        <v>0</v>
      </c>
      <c s="1171"/>
      <c s="1833"/>
      <c s="1761"/>
      <c s="1761"/>
      <c s="1833"/>
      <c s="1761"/>
      <c s="1989"/>
      <c s="1990"/>
      <c s="1825"/>
      <c s="1825"/>
      <c s="1825"/>
      <c s="1825"/>
      <c s="1825"/>
      <c s="1825"/>
      <c s="1825"/>
      <c s="1825"/>
      <c s="1825"/>
      <c s="1825"/>
      <c s="1825"/>
      <c s="1825"/>
      <c s="1825"/>
      <c s="1825"/>
      <c s="1825"/>
      <c s="1825"/>
      <c s="1825"/>
      <c s="1825"/>
      <c s="1825"/>
      <c s="1825"/>
    </row>
    <row r="99" spans="1:1" s="1817" customFormat="1" ht="11.25" customHeight="1">
      <c r="A99" s="1817" t="s">
        <v>1927</v>
      </c>
    </row>
    <row r="101" spans="1:58" s="1637" customFormat="1" ht="11.25" customHeight="1">
      <c r="A101" s="1168"/>
      <c s="1168"/>
      <c s="1168"/>
      <c s="1162"/>
      <c s="1172"/>
      <c s="1831"/>
      <c s="1832"/>
      <c s="2517" t="s">
        <v>109</v>
      </c>
      <c s="2518"/>
      <c s="2487"/>
      <c s="2519"/>
      <c s="2109" t="s">
        <v>19</v>
      </c>
      <c s="2110"/>
      <c s="1988"/>
      <c s="1179" t="s">
        <v>376</v>
      </c>
      <c s="1180"/>
      <c s="1180"/>
      <c s="1180"/>
      <c s="1180"/>
      <c s="1180"/>
      <c s="1180"/>
      <c s="1180"/>
      <c s="1180"/>
      <c s="1180"/>
      <c s="1180"/>
      <c s="1180"/>
      <c s="1180"/>
      <c s="1180"/>
      <c s="1180"/>
      <c s="1180"/>
      <c s="1180"/>
      <c s="2508"/>
      <c s="2509"/>
      <c s="2509"/>
      <c s="2508"/>
      <c s="2509"/>
      <c s="2509"/>
      <c s="1990"/>
      <c s="1825"/>
      <c s="1825"/>
      <c s="1825"/>
      <c s="1825"/>
      <c s="1825"/>
      <c s="1825"/>
      <c s="1825"/>
      <c s="1825"/>
      <c s="1825"/>
      <c s="1825"/>
      <c s="1825"/>
      <c s="1825"/>
      <c s="1825"/>
      <c s="1825"/>
      <c s="1825"/>
      <c s="1825"/>
      <c s="1825"/>
      <c s="1825"/>
      <c s="1825"/>
      <c s="1825"/>
    </row>
    <row r="102" spans="1:58" s="1637" customFormat="1" ht="11.25" customHeight="1">
      <c r="A102" s="1168"/>
      <c s="1168"/>
      <c s="1168"/>
      <c s="1162"/>
      <c s="1172"/>
      <c s="1831"/>
      <c s="1832"/>
      <c s="2517"/>
      <c s="2518"/>
      <c s="2487"/>
      <c s="2519"/>
      <c s="2109"/>
      <c s="2110"/>
      <c s="2510"/>
      <c s="2511">
        <v>1</v>
      </c>
      <c s="2512" t="s">
        <v>19</v>
      </c>
      <c s="2515" t="s">
        <v>22</v>
      </c>
      <c s="2515" t="s">
        <v>22</v>
      </c>
      <c s="2515" t="s">
        <v>22</v>
      </c>
      <c s="2515" t="s">
        <v>22</v>
      </c>
      <c s="2515" t="s">
        <v>22</v>
      </c>
      <c s="2515" t="s">
        <v>22</v>
      </c>
      <c s="2515" t="s">
        <v>22</v>
      </c>
      <c s="2515" t="s">
        <v>22</v>
      </c>
      <c s="2515"/>
      <c s="1177"/>
      <c s="1178"/>
      <c s="1178"/>
      <c s="1182"/>
      <c s="1182"/>
      <c s="1183"/>
      <c s="2508"/>
      <c s="2509"/>
      <c s="2509"/>
      <c s="2508"/>
      <c s="2509"/>
      <c s="2509"/>
      <c s="1990"/>
      <c s="1825"/>
      <c s="1825"/>
      <c s="1825"/>
      <c s="1825"/>
      <c s="1825"/>
      <c s="1825"/>
      <c s="1825"/>
      <c s="1825"/>
      <c s="1825"/>
      <c s="1825"/>
      <c s="1825"/>
      <c s="1825"/>
      <c s="1825"/>
      <c s="1825"/>
      <c s="1825"/>
      <c s="1825"/>
      <c s="1825"/>
      <c s="1825"/>
      <c s="1825"/>
      <c s="1825"/>
    </row>
    <row r="103" spans="1:58" s="1637" customFormat="1" ht="11.25" customHeight="1">
      <c r="A103" s="1168"/>
      <c s="1168"/>
      <c s="1168"/>
      <c s="1162"/>
      <c s="1172"/>
      <c s="1831"/>
      <c s="1832"/>
      <c s="2517"/>
      <c s="2518"/>
      <c s="2487"/>
      <c s="2519"/>
      <c s="2109"/>
      <c s="2110"/>
      <c s="2510"/>
      <c s="2511"/>
      <c s="2513"/>
      <c s="2515"/>
      <c s="2515"/>
      <c s="2516"/>
      <c s="2515"/>
      <c s="2515"/>
      <c s="2515"/>
      <c s="2515"/>
      <c s="2515"/>
      <c s="2515"/>
      <c s="1830"/>
      <c s="1796">
        <v>1</v>
      </c>
      <c s="1181"/>
      <c s="1171"/>
      <c s="1181">
        <f>AB103</f>
        <v>0</v>
      </c>
      <c s="1171"/>
      <c s="2508"/>
      <c s="2509"/>
      <c s="2509"/>
      <c s="2508"/>
      <c s="2509"/>
      <c s="2509"/>
      <c s="1990"/>
      <c s="1825"/>
      <c s="1825"/>
      <c s="1825"/>
      <c s="1825"/>
      <c s="1825"/>
      <c s="1825"/>
      <c s="1825"/>
      <c s="1825"/>
      <c s="1825"/>
      <c s="1825"/>
      <c s="1825"/>
      <c s="1825"/>
      <c s="1825"/>
      <c s="1825"/>
      <c s="1825"/>
      <c s="1825"/>
      <c s="1825"/>
      <c s="1825"/>
      <c s="1825"/>
      <c s="1825"/>
    </row>
    <row r="104" spans="1:58" s="1637" customFormat="1" ht="11.25" customHeight="1">
      <c r="A104" s="1168"/>
      <c s="1168"/>
      <c s="1168"/>
      <c s="1162"/>
      <c s="1172"/>
      <c s="1831"/>
      <c s="1832"/>
      <c s="2517"/>
      <c s="2518"/>
      <c s="2487"/>
      <c s="2519"/>
      <c s="2109"/>
      <c s="2110"/>
      <c s="2510"/>
      <c s="2511"/>
      <c s="2514"/>
      <c s="2515"/>
      <c s="2515"/>
      <c s="2516"/>
      <c s="2515"/>
      <c s="2515"/>
      <c s="2515"/>
      <c s="2515"/>
      <c s="2515"/>
      <c s="2515"/>
      <c s="1177"/>
      <c s="1178"/>
      <c s="1243" t="s">
        <v>1925</v>
      </c>
      <c s="1182"/>
      <c s="1182"/>
      <c s="1184"/>
      <c s="2508"/>
      <c s="2509"/>
      <c s="2509"/>
      <c s="2508"/>
      <c s="2509"/>
      <c s="2509"/>
      <c s="1990"/>
      <c s="1825"/>
      <c s="1825"/>
      <c s="1825"/>
      <c s="1825"/>
      <c s="1825"/>
      <c s="1825"/>
      <c s="1825"/>
      <c s="1825"/>
      <c s="1825"/>
      <c s="1825"/>
      <c s="1825"/>
      <c s="1825"/>
      <c s="1825"/>
      <c s="1825"/>
      <c s="1825"/>
      <c s="1825"/>
      <c s="1825"/>
      <c s="1825"/>
      <c s="1825"/>
      <c s="1825"/>
    </row>
    <row r="105" spans="1:58" s="1637" customFormat="1" ht="11.25" customHeight="1">
      <c r="A105" s="1168"/>
      <c s="1168"/>
      <c s="1168"/>
      <c s="1162"/>
      <c s="1172"/>
      <c s="1831"/>
      <c s="1832"/>
      <c s="2517"/>
      <c s="2518"/>
      <c s="2487"/>
      <c s="2519"/>
      <c s="2109"/>
      <c s="2110"/>
      <c s="1177"/>
      <c s="1178"/>
      <c s="1170" t="s">
        <v>1928</v>
      </c>
      <c s="1178"/>
      <c s="1178"/>
      <c s="1178"/>
      <c s="1178"/>
      <c s="1178"/>
      <c s="1178"/>
      <c s="1178"/>
      <c s="1178"/>
      <c s="1178"/>
      <c s="1178"/>
      <c s="1178"/>
      <c s="1178"/>
      <c s="1178"/>
      <c s="1178"/>
      <c s="1185"/>
      <c s="2508"/>
      <c s="2509"/>
      <c s="2509"/>
      <c s="2508"/>
      <c s="2509"/>
      <c s="2509"/>
      <c s="1990"/>
      <c s="1825"/>
      <c s="1825"/>
      <c s="1825"/>
      <c s="1825"/>
      <c s="1825"/>
      <c s="1825"/>
      <c s="1825"/>
      <c s="1825"/>
      <c s="1825"/>
      <c s="1825"/>
      <c s="1825"/>
      <c s="1825"/>
      <c s="1825"/>
      <c s="1825"/>
      <c s="1825"/>
      <c s="1825"/>
      <c s="1825"/>
      <c s="1825"/>
      <c s="1825"/>
      <c s="1825"/>
    </row>
    <row r="107" spans="1:1" s="1817" customFormat="1" ht="11.25" customHeight="1">
      <c r="A107" s="1817" t="s">
        <v>1929</v>
      </c>
    </row>
    <row r="108" ht="17.25" customHeight="1" thickBot="1"/>
    <row r="109" spans="1:180" s="927" customFormat="1" ht="21" customHeight="1">
      <c r="A109" s="1169"/>
      <c s="942"/>
      <c r="D109" s="926"/>
      <c s="941" t="s">
        <v>22</v>
      </c>
      <c s="1123">
        <f>INDEX(IP_MAIN_LIST_NAME_IP,MATCH(A109,IP_MAIN_LIST_IP_ID,0))&amp;" ("&amp;INDEX(IP_MAIN_START_DATE,MATCH(A109,IP_MAIN_LIST_IP_ID,0))&amp;"-"&amp;INDEX(IP_MAIN_END_DATE,MATCH(A109,IP_MAIN_LIST_IP_ID,0))&amp;")"</f>
      </c>
      <c s="1205"/>
      <c s="1206"/>
      <c s="1206"/>
      <c s="1206"/>
      <c s="1206"/>
      <c s="1206"/>
      <c s="1206"/>
      <c s="1206"/>
      <c s="1205"/>
      <c s="1205"/>
      <c s="1205"/>
      <c s="1205"/>
      <c s="1205"/>
      <c s="1205"/>
      <c s="1207"/>
      <c s="1207"/>
      <c s="1207"/>
      <c s="1207"/>
      <c s="1207"/>
      <c s="1207"/>
      <c s="1207"/>
      <c s="1205"/>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9"/>
      <c s="1203"/>
      <c s="1204"/>
    </row>
    <row r="110" spans="2:180" s="927" customFormat="1" ht="24.75" customHeight="1">
      <c r="B110" s="925"/>
      <c s="926"/>
      <c s="926"/>
      <c s="1837"/>
      <c s="1210">
        <v>1</v>
      </c>
      <c s="1211"/>
      <c s="1212"/>
      <c s="1984"/>
      <c s="1213"/>
      <c s="1213"/>
      <c s="1213"/>
      <c s="1213"/>
      <c s="1213"/>
      <c s="1214"/>
      <c s="1214"/>
      <c s="1214"/>
      <c s="1214"/>
      <c s="1214"/>
      <c s="1214"/>
      <c s="1214"/>
      <c s="1214"/>
      <c s="1214"/>
      <c s="1214"/>
      <c s="1214"/>
      <c s="1214"/>
      <c s="1214"/>
      <c s="1214"/>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4"/>
      <c s="1214"/>
      <c s="1214"/>
      <c s="1214"/>
      <c s="1214"/>
      <c s="1214"/>
      <c s="1214"/>
      <c s="1214"/>
      <c s="1214"/>
      <c s="1214"/>
      <c s="1214"/>
      <c s="1214"/>
      <c s="1214"/>
      <c s="1214"/>
      <c s="1214"/>
      <c s="1214"/>
      <c s="1214"/>
      <c s="1214"/>
      <c s="1213"/>
      <c s="1213"/>
      <c s="1213"/>
      <c s="1213"/>
      <c s="1213"/>
      <c s="1213"/>
      <c s="1213"/>
      <c s="1213"/>
      <c s="1213"/>
      <c s="1213"/>
      <c s="1213"/>
      <c s="1213"/>
      <c s="1213"/>
      <c s="1214"/>
      <c s="1214"/>
      <c s="1214"/>
      <c s="1214"/>
      <c s="1214"/>
      <c s="1214"/>
      <c s="1214"/>
      <c s="1214"/>
      <c s="1214"/>
      <c s="1214"/>
      <c s="1214"/>
      <c s="1214"/>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04"/>
    </row>
    <row r="111" spans="1:184" s="927" customFormat="1" ht="12" customHeight="1" thickBot="1">
      <c r="A111" s="926"/>
      <c s="925"/>
      <c s="926"/>
      <c s="926"/>
      <c s="926"/>
      <c s="1215"/>
      <c s="1802" t="s">
        <v>1930</v>
      </c>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7"/>
      <c s="1218"/>
      <c s="943"/>
      <c s="943"/>
      <c s="943"/>
      <c s="943"/>
    </row>
    <row r="113" spans="1:1" s="1817" customFormat="1" ht="11.25" customHeight="1">
      <c r="A113" s="1817" t="s">
        <v>1931</v>
      </c>
    </row>
    <row r="115" spans="1:83" s="1852" customFormat="1" ht="15" customHeight="1">
      <c r="A115" s="625"/>
      <c s="626"/>
      <c s="626"/>
      <c s="2580" t="s">
        <v>109</v>
      </c>
      <c s="2379" t="s">
        <v>105</v>
      </c>
      <c s="2380"/>
      <c s="2381"/>
      <c s="2385" t="str">
        <f>IF(A115="","",INDEX(DIFFERENTIATION_UNMERGE_VD,MATCH(A115,DIFFERENTIATION_ID_DIFF,0)))</f>
        <v/>
      </c>
      <c s="2385"/>
      <c s="2385"/>
      <c s="2385"/>
      <c s="2385"/>
      <c s="2385"/>
      <c s="2385"/>
      <c s="2385"/>
      <c s="2385"/>
      <c s="2385"/>
      <c s="2385"/>
      <c s="721"/>
      <c s="718"/>
      <c s="627"/>
      <c s="627"/>
      <c s="628"/>
      <c s="628"/>
      <c s="628"/>
      <c s="628"/>
      <c s="629"/>
      <c s="630"/>
      <c s="2377"/>
      <c s="631"/>
      <c s="632" t="s">
        <v>22</v>
      </c>
      <c s="632"/>
      <c s="633" t="s">
        <v>609</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6" spans="1:83" s="1852" customFormat="1" ht="15" customHeight="1">
      <c r="A116" s="625"/>
      <c s="626"/>
      <c s="626"/>
      <c s="2581"/>
      <c s="2379" t="s">
        <v>564</v>
      </c>
      <c s="2380"/>
      <c s="2381"/>
      <c s="2385" t="str">
        <f>IF(A115="","",INDEX(DIFFERENTIATION_UNMERGE_AREA,MATCH(A115,DIFFERENTIATION_ID_DIFF,0)))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7" spans="1:83" s="1852" customFormat="1" ht="15" customHeight="1">
      <c r="A117" s="625"/>
      <c s="626"/>
      <c s="626"/>
      <c s="2581"/>
      <c s="2379" t="s">
        <v>565</v>
      </c>
      <c s="2380"/>
      <c s="2381"/>
      <c s="2385" t="str">
        <f>IF(A115="","",INDEX(DIFFERENTIATION_UNMERGE_SYSTEM,MATCH(A115,DIFFERENTIATION_ID_DIFF,0)))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8" spans="1:83" s="1852" customFormat="1" ht="24.75" customHeight="1">
      <c r="A118" s="1808"/>
      <c s="1162"/>
      <c s="414"/>
      <c s="2581"/>
      <c s="2378" t="s">
        <v>610</v>
      </c>
      <c s="2378"/>
      <c s="2378"/>
      <c s="2378"/>
      <c s="2378"/>
      <c s="2378"/>
      <c s="2378"/>
      <c s="2378"/>
      <c s="2378"/>
      <c s="2378"/>
      <c s="2378"/>
      <c s="2378"/>
      <c s="560">
        <f>SUMIF(T119:T120,"i",Q119:Q120)</f>
        <v>0</v>
      </c>
      <c s="1019"/>
      <c s="1800" t="s">
        <v>611</v>
      </c>
      <c s="719" t="s">
        <v>612</v>
      </c>
      <c s="2376">
        <v>1</v>
      </c>
      <c s="2376" t="s">
        <v>575</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19" spans="1:83" s="1852" customFormat="1" ht="11.25" customHeight="1" hidden="1">
      <c r="A119"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20" spans="1:83" s="1852" customFormat="1" ht="11.25" customHeight="1">
      <c r="A120" s="1808"/>
      <c s="1162"/>
      <c s="414"/>
      <c s="2581"/>
      <c s="651" t="s">
        <v>22</v>
      </c>
      <c s="1170" t="s">
        <v>22</v>
      </c>
      <c s="1170" t="s">
        <v>1932</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1" spans="1:83" s="1852" customFormat="1" ht="24.75" customHeight="1">
      <c r="A121" s="1808"/>
      <c s="1162"/>
      <c s="414"/>
      <c s="2581"/>
      <c s="2378" t="s">
        <v>613</v>
      </c>
      <c s="2378"/>
      <c s="2378"/>
      <c s="2378"/>
      <c s="2378"/>
      <c s="2378"/>
      <c s="2378"/>
      <c s="2378"/>
      <c s="2378"/>
      <c s="2378"/>
      <c s="2378"/>
      <c s="2378"/>
      <c s="560">
        <f>SUMIF(T122:T123,"i",Q122:Q123)</f>
        <v>0</v>
      </c>
      <c s="1019"/>
      <c s="1800" t="s">
        <v>614</v>
      </c>
      <c s="719" t="s">
        <v>612</v>
      </c>
      <c s="2376">
        <v>1</v>
      </c>
      <c s="2376" t="s">
        <v>575</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2" spans="1:83" s="1852" customFormat="1" ht="11.25" customHeight="1" hidden="1">
      <c r="A122"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23" spans="1:83" s="1852" customFormat="1" ht="11.25" customHeight="1">
      <c r="A123" s="1808"/>
      <c s="1162"/>
      <c s="414"/>
      <c s="2582"/>
      <c s="651" t="s">
        <v>22</v>
      </c>
      <c s="1170" t="s">
        <v>22</v>
      </c>
      <c s="1170" t="s">
        <v>1932</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5" spans="1:1" s="1817" customFormat="1" ht="11.25" customHeight="1">
      <c r="A125" s="1817" t="s">
        <v>1933</v>
      </c>
    </row>
    <row r="127" spans="1:83" s="1852" customFormat="1" ht="15" customHeight="1">
      <c r="A127" s="625"/>
      <c s="626"/>
      <c s="626"/>
      <c s="2580" t="s">
        <v>109</v>
      </c>
      <c s="2379" t="s">
        <v>105</v>
      </c>
      <c s="2380"/>
      <c s="2381"/>
      <c s="2385" t="str">
        <f>IF(A127="","",INDEX(DIFFERENTIATION_UNMERGE_VD,MATCH(A127,DIFFERENTIATION_ID_DIFF,0)))</f>
        <v/>
      </c>
      <c s="2385"/>
      <c s="2385"/>
      <c s="2385"/>
      <c s="2385"/>
      <c s="2385"/>
      <c s="2385"/>
      <c s="2385"/>
      <c s="2385"/>
      <c s="2385"/>
      <c s="2385"/>
      <c s="721"/>
      <c s="718"/>
      <c s="627"/>
      <c s="627"/>
      <c s="628"/>
      <c s="628"/>
      <c s="628"/>
      <c s="628"/>
      <c s="629"/>
      <c s="630"/>
      <c s="2377"/>
      <c s="631"/>
      <c s="632" t="s">
        <v>22</v>
      </c>
      <c s="632"/>
      <c s="633" t="s">
        <v>609</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28" spans="1:83" s="1852" customFormat="1" ht="15" customHeight="1">
      <c r="A128" s="625"/>
      <c s="626"/>
      <c s="626"/>
      <c s="2581"/>
      <c s="2379" t="s">
        <v>564</v>
      </c>
      <c s="2380"/>
      <c s="2381"/>
      <c s="2385" t="str">
        <f>IF(A127="","",INDEX(DIFFERENTIATION_UNMERGE_AREA,MATCH(A127,DIFFERENTIATION_ID_DIFF,0)))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29" spans="1:83" s="1852" customFormat="1" ht="15" customHeight="1">
      <c r="A129" s="625"/>
      <c s="626"/>
      <c s="626"/>
      <c s="2581"/>
      <c s="2379" t="s">
        <v>565</v>
      </c>
      <c s="2380"/>
      <c s="2381"/>
      <c s="2385" t="str">
        <f>IF(A127="","",INDEX(DIFFERENTIATION_UNMERGE_SYSTEM,MATCH(A127,DIFFERENTIATION_ID_DIFF,0)))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30" spans="1:83" s="1852" customFormat="1" ht="24.75" customHeight="1">
      <c r="A130" s="1808"/>
      <c s="1162"/>
      <c s="414"/>
      <c s="2581"/>
      <c s="2378" t="s">
        <v>610</v>
      </c>
      <c s="2378"/>
      <c s="2378"/>
      <c s="2378"/>
      <c s="2378"/>
      <c s="2378"/>
      <c s="2378"/>
      <c s="2378"/>
      <c s="2378"/>
      <c s="2378"/>
      <c s="2378"/>
      <c s="2378"/>
      <c s="560">
        <f>SUMIF(T131:T132,"i",Q131:Q132)</f>
        <v>0</v>
      </c>
      <c s="1019"/>
      <c s="1800" t="s">
        <v>611</v>
      </c>
      <c s="719" t="s">
        <v>612</v>
      </c>
      <c s="2376">
        <v>1</v>
      </c>
      <c s="2376" t="s">
        <v>575</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31" spans="1:83" s="1852" customFormat="1" ht="11.25" customHeight="1" hidden="1">
      <c r="A131"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2" spans="1:83" s="1852" customFormat="1" ht="11.25" customHeight="1">
      <c r="A132" s="1808"/>
      <c s="1162"/>
      <c s="414"/>
      <c s="2581"/>
      <c s="651" t="s">
        <v>22</v>
      </c>
      <c s="1170" t="s">
        <v>22</v>
      </c>
      <c s="1170" t="s">
        <v>1932</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33" spans="1:83" s="1318" customFormat="1" ht="5.25" customHeight="1" hidden="1">
      <c r="A133" s="1795"/>
      <c s="1638"/>
      <c s="1638"/>
      <c s="2581"/>
      <c s="1041"/>
      <c s="1041"/>
      <c s="1041"/>
      <c s="1041"/>
      <c s="1041"/>
      <c s="1041"/>
      <c s="1041"/>
      <c s="1041"/>
      <c s="1041"/>
      <c s="1041"/>
      <c s="1041"/>
      <c s="1041"/>
      <c s="1042"/>
      <c s="1043"/>
      <c s="1044"/>
      <c s="719" t="s">
        <v>612</v>
      </c>
      <c s="2376">
        <v>1</v>
      </c>
      <c s="2376" t="s">
        <v>575</v>
      </c>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4" spans="1:83" s="1318" customFormat="1" ht="5.25" customHeight="1" hidden="1">
      <c r="A134" s="1795"/>
      <c s="1638"/>
      <c s="1638"/>
      <c s="2581"/>
      <c s="637"/>
      <c s="637"/>
      <c s="637"/>
      <c s="637"/>
      <c s="637"/>
      <c s="637"/>
      <c s="637"/>
      <c s="637"/>
      <c s="637"/>
      <c s="637"/>
      <c s="637"/>
      <c s="637"/>
      <c s="637"/>
      <c s="637"/>
      <c s="638"/>
      <c s="720"/>
      <c s="2376"/>
      <c s="2376"/>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5" spans="1:83" s="1318" customFormat="1" ht="5.25" customHeight="1" hidden="1">
      <c r="A135" s="1795"/>
      <c s="1638"/>
      <c s="1638"/>
      <c s="2582"/>
      <c s="1045"/>
      <c s="1046"/>
      <c s="1046"/>
      <c s="1047"/>
      <c s="1047"/>
      <c s="1047"/>
      <c s="1047"/>
      <c s="1047"/>
      <c s="1047"/>
      <c s="1047"/>
      <c s="1047"/>
      <c s="1047"/>
      <c s="1047"/>
      <c s="948"/>
      <c s="1048"/>
      <c s="720"/>
      <c s="2376"/>
      <c s="2376"/>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6" spans="4:4" ht="17.25" customHeight="1">
      <c r="D136" s="1838"/>
    </row>
    <row r="137" spans="1:1" s="1817" customFormat="1" ht="11.25" customHeight="1">
      <c r="A137" s="1817" t="s">
        <v>1934</v>
      </c>
    </row>
    <row r="139" spans="1:29" s="1852" customFormat="1" ht="45" customHeight="1">
      <c r="A139" s="1808"/>
      <c s="1162"/>
      <c s="414"/>
      <c s="91"/>
      <c s="2574"/>
      <c s="2110" t="s">
        <v>109</v>
      </c>
      <c s="2577" t="s">
        <v>22</v>
      </c>
      <c s="291"/>
      <c s="639" t="s">
        <v>109</v>
      </c>
      <c s="1809" t="s">
        <v>1935</v>
      </c>
      <c s="640" t="s">
        <v>546</v>
      </c>
      <c s="2226" t="s">
        <v>546</v>
      </c>
      <c s="2579"/>
      <c s="640" t="s">
        <v>546</v>
      </c>
      <c s="640" t="s">
        <v>546</v>
      </c>
      <c s="640" t="s">
        <v>546</v>
      </c>
      <c s="641">
        <f>SUM(Q140:Q142)</f>
        <v>0</v>
      </c>
      <c s="641">
        <f>IF(R136=0,0,(Q136/R136)*100)</f>
        <v>0</v>
      </c>
      <c s="2181"/>
      <c s="719" t="s">
        <v>612</v>
      </c>
      <c s="91"/>
      <c s="91"/>
      <c r="AC139" s="91"/>
    </row>
    <row r="140" spans="1:29" s="1852" customFormat="1" ht="11.25" customHeight="1">
      <c r="A140" s="1808"/>
      <c s="1162"/>
      <c s="414"/>
      <c s="91"/>
      <c s="2575"/>
      <c s="2110"/>
      <c s="2577"/>
      <c s="2129"/>
      <c s="2517" t="s">
        <v>1022</v>
      </c>
      <c s="2571"/>
      <c s="2572"/>
      <c s="642"/>
      <c s="643" t="s">
        <v>109</v>
      </c>
      <c s="1797"/>
      <c s="644"/>
      <c s="645"/>
      <c s="644"/>
      <c s="646">
        <v>0</v>
      </c>
      <c s="2181"/>
      <c s="719"/>
      <c s="91"/>
      <c s="91"/>
      <c r="AC140" s="91"/>
    </row>
    <row r="141" spans="1:29" s="1852" customFormat="1" ht="11.25" customHeight="1">
      <c r="A141" s="1808"/>
      <c s="1162"/>
      <c s="414"/>
      <c s="91"/>
      <c s="2575"/>
      <c s="2110"/>
      <c s="2577"/>
      <c s="2129"/>
      <c s="2517"/>
      <c s="2571"/>
      <c s="2573"/>
      <c s="647"/>
      <c s="648"/>
      <c s="649" t="s">
        <v>1936</v>
      </c>
      <c s="649"/>
      <c s="649"/>
      <c s="649"/>
      <c s="650"/>
      <c s="2181"/>
      <c s="719"/>
      <c s="91"/>
      <c s="91"/>
      <c r="AC141" s="91"/>
    </row>
    <row r="142" spans="1:29" s="1852" customFormat="1" ht="11.25" customHeight="1">
      <c r="A142" s="1808"/>
      <c s="1162"/>
      <c s="414"/>
      <c s="91"/>
      <c s="2576"/>
      <c s="2110"/>
      <c s="2578"/>
      <c s="647" t="s">
        <v>22</v>
      </c>
      <c s="648"/>
      <c s="649" t="s">
        <v>1937</v>
      </c>
      <c s="649"/>
      <c s="649"/>
      <c s="649"/>
      <c s="649"/>
      <c s="649"/>
      <c s="649"/>
      <c s="649"/>
      <c s="650"/>
      <c s="2181"/>
      <c s="719"/>
      <c s="91"/>
      <c s="91"/>
      <c r="AC142" s="91"/>
    </row>
    <row r="147" spans="1:29" s="1852" customFormat="1" ht="11.25" customHeight="1">
      <c r="A147" s="1808"/>
      <c s="1162"/>
      <c s="414"/>
      <c s="91"/>
      <c s="1832"/>
      <c s="1832"/>
      <c s="1832"/>
      <c s="2129"/>
      <c s="2517" t="s">
        <v>1022</v>
      </c>
      <c s="2571"/>
      <c s="2572"/>
      <c s="642"/>
      <c s="643" t="s">
        <v>109</v>
      </c>
      <c s="1797"/>
      <c s="644"/>
      <c s="645"/>
      <c s="644"/>
      <c s="646">
        <v>0</v>
      </c>
      <c s="91"/>
      <c s="719"/>
      <c s="91"/>
      <c s="91"/>
      <c r="AC147" s="91"/>
    </row>
    <row r="148" spans="1:29" s="1852" customFormat="1" ht="11.25" customHeight="1">
      <c r="A148" s="1808"/>
      <c s="1162"/>
      <c s="414"/>
      <c s="91"/>
      <c s="1832"/>
      <c s="1832"/>
      <c s="1832"/>
      <c s="2129"/>
      <c s="2517"/>
      <c s="2571"/>
      <c s="2573"/>
      <c s="647"/>
      <c s="648"/>
      <c s="649" t="s">
        <v>1936</v>
      </c>
      <c s="649"/>
      <c s="649"/>
      <c s="649"/>
      <c s="650"/>
      <c s="91"/>
      <c s="719"/>
      <c s="91"/>
      <c s="91"/>
      <c r="AC148" s="91"/>
    </row>
    <row r="150" spans="1:29" s="1852" customFormat="1" ht="11.25" customHeight="1">
      <c r="A150" s="1808"/>
      <c s="1162"/>
      <c s="414"/>
      <c s="91"/>
      <c s="1839"/>
      <c s="1837"/>
      <c s="1837"/>
      <c s="1840"/>
      <c s="1832"/>
      <c s="1833"/>
      <c s="1833"/>
      <c s="642"/>
      <c s="643" t="s">
        <v>109</v>
      </c>
      <c s="1797"/>
      <c s="644"/>
      <c s="645"/>
      <c s="644"/>
      <c s="646">
        <v>0</v>
      </c>
      <c s="91"/>
      <c s="719"/>
      <c s="91"/>
      <c s="91"/>
      <c r="AC150" s="91"/>
    </row>
    <row r="152" spans="1:1" s="1817" customFormat="1" ht="17.25" customHeight="1">
      <c r="A152" s="1817" t="s">
        <v>1938</v>
      </c>
    </row>
    <row r="153" spans="7:13" ht="17.25" customHeight="1">
      <c r="G153" s="1841"/>
      <c s="1841"/>
      <c s="1841"/>
      <c r="M153" s="1837"/>
    </row>
    <row r="154" spans="1:43" s="1855" customFormat="1" ht="17.25" customHeight="1">
      <c r="A154" s="1842"/>
      <c r="C154" s="1844"/>
      <c s="2531"/>
      <c s="2145"/>
      <c s="2147"/>
      <c s="2533"/>
      <c s="2531"/>
      <c s="2531">
        <v>1</v>
      </c>
      <c s="2503"/>
      <c s="2187" t="s">
        <v>65</v>
      </c>
      <c s="2110"/>
      <c s="2110" t="s">
        <v>109</v>
      </c>
      <c s="2506" t="str">
        <f>IF(Z154="","",INDEX(TERRITORY_MR_LIST,MATCH(Z154,TERRITORY_LIST_ID,0)))</f>
        <v/>
      </c>
      <c s="2187" t="s">
        <v>65</v>
      </c>
      <c s="2110"/>
      <c s="2110" t="s">
        <v>109</v>
      </c>
      <c s="2504" t="s">
        <v>22</v>
      </c>
      <c s="2109" t="s">
        <v>65</v>
      </c>
      <c s="1813"/>
      <c s="1813" t="s">
        <v>109</v>
      </c>
      <c s="1845" t="s">
        <v>22</v>
      </c>
      <c s="1803"/>
      <c r="Y154" s="1269"/>
      <c s="1269"/>
      <c s="1269"/>
      <c s="1269"/>
      <c s="1269"/>
      <c s="1269"/>
      <c s="1269"/>
      <c s="1269"/>
      <c s="1269"/>
      <c s="1269"/>
      <c s="1269"/>
      <c s="1269"/>
      <c s="1269"/>
      <c s="1846"/>
      <c s="1846"/>
      <c s="1269"/>
      <c s="1269"/>
      <c s="1269"/>
      <c s="1269"/>
    </row>
    <row r="155" spans="1:37" s="1855" customFormat="1" ht="17.25" customHeight="1">
      <c r="A155" s="1842"/>
      <c r="C155" s="1847"/>
      <c s="2531"/>
      <c s="2145"/>
      <c s="2148"/>
      <c s="2533"/>
      <c s="2531"/>
      <c s="2531"/>
      <c s="2503"/>
      <c s="2188"/>
      <c s="2110"/>
      <c s="2110"/>
      <c s="2506"/>
      <c s="2188"/>
      <c s="2110"/>
      <c s="2110"/>
      <c s="2504"/>
      <c s="2109"/>
      <c s="319"/>
      <c s="320"/>
      <c s="320" t="s">
        <v>414</v>
      </c>
      <c s="321"/>
      <c r="Y155" s="1261"/>
      <c s="1261"/>
      <c s="1261"/>
      <c s="1261"/>
      <c s="1261"/>
      <c s="1261"/>
      <c s="1261"/>
      <c s="1261"/>
      <c s="1261"/>
      <c s="1261"/>
      <c s="1261"/>
      <c s="1261"/>
      <c s="1261"/>
    </row>
    <row r="156" spans="1:37" s="1855" customFormat="1" ht="17.25" customHeight="1">
      <c r="A156" s="1842"/>
      <c r="C156" s="1847"/>
      <c s="2505"/>
      <c s="2532"/>
      <c s="2148"/>
      <c s="2534"/>
      <c s="2505"/>
      <c s="2505"/>
      <c s="2535"/>
      <c s="2188"/>
      <c s="2505"/>
      <c s="2505"/>
      <c s="2507"/>
      <c s="2114"/>
      <c s="319"/>
      <c s="320"/>
      <c s="320" t="s">
        <v>415</v>
      </c>
      <c s="1848"/>
      <c s="1848"/>
      <c s="1848"/>
      <c s="1848"/>
      <c s="321"/>
      <c r="Y156" s="1261"/>
      <c s="1261"/>
      <c s="1261"/>
      <c s="1261"/>
      <c s="1261"/>
      <c s="1261"/>
      <c s="1261"/>
      <c s="1261"/>
      <c s="1261"/>
      <c s="1261"/>
      <c s="1261"/>
      <c s="1261"/>
      <c s="1261"/>
    </row>
    <row r="157" spans="1:37" s="1855" customFormat="1" ht="17.25" customHeight="1">
      <c r="A157" s="1842"/>
      <c r="C157" s="1847"/>
      <c s="2505"/>
      <c s="2532"/>
      <c s="2148"/>
      <c s="2534"/>
      <c s="2505"/>
      <c s="2505"/>
      <c s="2535"/>
      <c s="2114"/>
      <c s="319"/>
      <c s="320"/>
      <c s="320" t="s">
        <v>416</v>
      </c>
      <c s="320"/>
      <c s="320"/>
      <c s="320"/>
      <c s="320"/>
      <c s="1848"/>
      <c s="1848"/>
      <c s="1848"/>
      <c s="1848"/>
      <c s="321"/>
      <c r="Y157" s="1261"/>
      <c s="1261"/>
      <c s="1261"/>
      <c s="1261"/>
      <c s="1261"/>
      <c s="1261"/>
      <c s="1261"/>
      <c s="1261"/>
      <c s="1261"/>
      <c s="1261"/>
      <c s="1261"/>
      <c s="1261"/>
      <c s="1261"/>
    </row>
    <row r="158" spans="1:37" s="1855" customFormat="1" ht="17.25" customHeight="1">
      <c r="A158" s="1842"/>
      <c r="C158" s="1847"/>
      <c s="2505"/>
      <c s="2532"/>
      <c s="2149"/>
      <c s="2534"/>
      <c s="319"/>
      <c s="320"/>
      <c s="320" t="s">
        <v>448</v>
      </c>
      <c s="320"/>
      <c s="320"/>
      <c s="320"/>
      <c s="320"/>
      <c s="320"/>
      <c s="320"/>
      <c s="320"/>
      <c s="320"/>
      <c s="1848"/>
      <c s="1848"/>
      <c s="1848"/>
      <c s="1848"/>
      <c s="321"/>
      <c r="Y158" s="1261"/>
      <c s="1261"/>
      <c s="1261"/>
      <c s="1261"/>
      <c s="1261"/>
      <c s="1261"/>
      <c s="1261"/>
      <c s="1261"/>
      <c s="1261"/>
      <c s="1261"/>
      <c s="1261"/>
      <c s="1261"/>
      <c s="1261"/>
    </row>
    <row r="159" spans="7:13" ht="17.25" customHeight="1">
      <c r="G159" s="1841"/>
      <c s="1841"/>
      <c s="1841"/>
      <c r="M159" s="1837"/>
    </row>
    <row r="160" spans="1:43" s="1855" customFormat="1" ht="17.25" customHeight="1">
      <c r="A160" s="1842"/>
      <c r="C160" s="1844"/>
      <c s="1832"/>
      <c s="1849"/>
      <c s="1786"/>
      <c s="1850"/>
      <c s="2531"/>
      <c s="2531">
        <v>1</v>
      </c>
      <c s="2503"/>
      <c s="2187" t="s">
        <v>65</v>
      </c>
      <c s="2110"/>
      <c s="2110" t="s">
        <v>109</v>
      </c>
      <c s="2506" t="str">
        <f>IF(Z160="","",INDEX(TERRITORY_MR_LIST,MATCH(Z160,TERRITORY_LIST_ID,0)))</f>
        <v/>
      </c>
      <c s="2187" t="s">
        <v>65</v>
      </c>
      <c s="2110"/>
      <c s="2110" t="s">
        <v>109</v>
      </c>
      <c s="2504" t="s">
        <v>22</v>
      </c>
      <c s="2109" t="s">
        <v>65</v>
      </c>
      <c s="1813"/>
      <c s="1813" t="s">
        <v>109</v>
      </c>
      <c s="1845" t="s">
        <v>22</v>
      </c>
      <c s="1803"/>
      <c r="Y160" s="1269"/>
      <c s="1269"/>
      <c s="1269"/>
      <c s="1269"/>
      <c s="1269"/>
      <c s="1269"/>
      <c s="1269"/>
      <c s="1269"/>
      <c s="1269"/>
      <c s="1269"/>
      <c s="1269"/>
      <c s="1269"/>
      <c s="1269"/>
      <c s="1846"/>
      <c s="1846"/>
      <c s="1269"/>
      <c s="1269"/>
      <c s="1269"/>
      <c s="1269"/>
    </row>
    <row r="161" spans="1:37" s="1855" customFormat="1" ht="17.25" customHeight="1">
      <c r="A161" s="1842"/>
      <c r="C161" s="1847"/>
      <c s="1832"/>
      <c s="1849"/>
      <c s="1786"/>
      <c s="1850"/>
      <c s="2531"/>
      <c s="2531"/>
      <c s="2503"/>
      <c s="2188"/>
      <c s="2110"/>
      <c s="2110"/>
      <c s="2506"/>
      <c s="2188"/>
      <c s="2110"/>
      <c s="2110"/>
      <c s="2504"/>
      <c s="2109"/>
      <c s="319"/>
      <c s="320"/>
      <c s="320" t="s">
        <v>414</v>
      </c>
      <c s="321"/>
      <c r="Y161" s="1261"/>
      <c s="1261"/>
      <c s="1261"/>
      <c s="1261"/>
      <c s="1261"/>
      <c s="1261"/>
      <c s="1261"/>
      <c s="1261"/>
      <c s="1261"/>
      <c s="1261"/>
      <c s="1261"/>
      <c s="1261"/>
      <c s="1261"/>
    </row>
    <row r="162" spans="1:37" s="1855" customFormat="1" ht="17.25" customHeight="1">
      <c r="A162" s="1842"/>
      <c r="C162" s="1847"/>
      <c s="1832"/>
      <c s="1849"/>
      <c s="1786"/>
      <c s="1850"/>
      <c s="2505"/>
      <c s="2505"/>
      <c s="2535"/>
      <c s="2188"/>
      <c s="2505"/>
      <c s="2505"/>
      <c s="2507"/>
      <c s="2114"/>
      <c s="319"/>
      <c s="320"/>
      <c s="320" t="s">
        <v>415</v>
      </c>
      <c s="1848"/>
      <c s="1848"/>
      <c s="1848"/>
      <c s="1848"/>
      <c s="321"/>
      <c r="Y162" s="1261"/>
      <c s="1261"/>
      <c s="1261"/>
      <c s="1261"/>
      <c s="1261"/>
      <c s="1261"/>
      <c s="1261"/>
      <c s="1261"/>
      <c s="1261"/>
      <c s="1261"/>
      <c s="1261"/>
      <c s="1261"/>
      <c s="1261"/>
    </row>
    <row r="163" spans="1:37" s="1855" customFormat="1" ht="17.25" customHeight="1">
      <c r="A163" s="1842"/>
      <c r="C163" s="1847"/>
      <c s="1832"/>
      <c s="1849"/>
      <c s="1786"/>
      <c s="1850"/>
      <c s="2505"/>
      <c s="2505"/>
      <c s="2535"/>
      <c s="2114"/>
      <c s="319"/>
      <c s="320"/>
      <c s="320" t="s">
        <v>416</v>
      </c>
      <c s="320"/>
      <c s="320"/>
      <c s="320"/>
      <c s="320"/>
      <c s="1848"/>
      <c s="1848"/>
      <c s="1848"/>
      <c s="1848"/>
      <c s="321"/>
      <c r="Y163" s="1261"/>
      <c s="1261"/>
      <c s="1261"/>
      <c s="1261"/>
      <c s="1261"/>
      <c s="1261"/>
      <c s="1261"/>
      <c s="1261"/>
      <c s="1261"/>
      <c s="1261"/>
      <c s="1261"/>
      <c s="1261"/>
      <c s="1261"/>
    </row>
    <row r="164" spans="7:13" ht="17.25" customHeight="1">
      <c r="G164" s="1841"/>
      <c s="1841"/>
      <c s="1841"/>
      <c r="M164" s="1837"/>
    </row>
    <row r="165" spans="1:43" s="1855" customFormat="1" ht="17.25" customHeight="1">
      <c r="A165" s="1842"/>
      <c r="C165" s="1844"/>
      <c s="1832"/>
      <c s="1849"/>
      <c s="1786"/>
      <c s="1850"/>
      <c s="1832"/>
      <c s="1832"/>
      <c s="1851"/>
      <c s="1762"/>
      <c s="2110"/>
      <c s="2110" t="s">
        <v>109</v>
      </c>
      <c s="2506" t="str">
        <f>IF(Z165="","",INDEX(TERRITORY_MR_LIST,MATCH(Z165,TERRITORY_LIST_ID,0)))</f>
        <v/>
      </c>
      <c s="2187" t="s">
        <v>65</v>
      </c>
      <c s="2110"/>
      <c s="2110" t="s">
        <v>109</v>
      </c>
      <c s="2504" t="s">
        <v>22</v>
      </c>
      <c s="2109" t="s">
        <v>65</v>
      </c>
      <c s="1813"/>
      <c s="1813" t="s">
        <v>109</v>
      </c>
      <c s="1845" t="s">
        <v>22</v>
      </c>
      <c s="1803"/>
      <c r="Y165" s="1269"/>
      <c s="1269"/>
      <c s="1269"/>
      <c s="1269"/>
      <c s="1269"/>
      <c s="1269"/>
      <c s="1269"/>
      <c s="1269"/>
      <c s="1269"/>
      <c s="1269"/>
      <c s="1269"/>
      <c s="1269"/>
      <c s="1269"/>
      <c s="1846"/>
      <c s="1846"/>
      <c s="1269"/>
      <c s="1269"/>
      <c s="1269"/>
      <c s="1269"/>
    </row>
    <row r="166" spans="1:37" s="1855" customFormat="1" ht="17.25" customHeight="1">
      <c r="A166" s="1842"/>
      <c r="C166" s="1847"/>
      <c s="1832"/>
      <c s="1849"/>
      <c s="1786"/>
      <c s="1850"/>
      <c s="1832"/>
      <c s="1832"/>
      <c s="1851"/>
      <c s="1762"/>
      <c s="2110"/>
      <c s="2110"/>
      <c s="2506"/>
      <c s="2188"/>
      <c s="2110"/>
      <c s="2110"/>
      <c s="2504"/>
      <c s="2109"/>
      <c s="319"/>
      <c s="320"/>
      <c s="320" t="s">
        <v>414</v>
      </c>
      <c s="321"/>
      <c r="Y166" s="1261"/>
      <c s="1261"/>
      <c s="1261"/>
      <c s="1261"/>
      <c s="1261"/>
      <c s="1261"/>
      <c s="1261"/>
      <c s="1261"/>
      <c s="1261"/>
      <c s="1261"/>
      <c s="1261"/>
      <c s="1261"/>
      <c s="1261"/>
    </row>
    <row r="167" spans="1:37" s="1855" customFormat="1" ht="17.25" customHeight="1">
      <c r="A167" s="1842"/>
      <c r="C167" s="1847"/>
      <c s="1832"/>
      <c s="1849"/>
      <c s="1786"/>
      <c s="1850"/>
      <c s="1832"/>
      <c s="1832"/>
      <c s="1851"/>
      <c s="1762"/>
      <c s="2505"/>
      <c s="2505"/>
      <c s="2507"/>
      <c s="2114"/>
      <c s="319"/>
      <c s="320"/>
      <c s="320" t="s">
        <v>415</v>
      </c>
      <c s="1848"/>
      <c s="1848"/>
      <c s="1848"/>
      <c s="1848"/>
      <c s="321"/>
      <c r="Y167" s="1261"/>
      <c s="1261"/>
      <c s="1261"/>
      <c s="1261"/>
      <c s="1261"/>
      <c s="1261"/>
      <c s="1261"/>
      <c s="1261"/>
      <c s="1261"/>
      <c s="1261"/>
      <c s="1261"/>
      <c s="1261"/>
      <c s="1261"/>
    </row>
    <row r="168" spans="7:13" ht="17.25" customHeight="1">
      <c r="G168" s="1841"/>
      <c s="1841"/>
      <c s="1841"/>
      <c r="M168" s="1837"/>
    </row>
    <row r="169" spans="1:43" s="1855" customFormat="1" ht="17.25" customHeight="1">
      <c r="A169" s="1842"/>
      <c r="C169" s="1844"/>
      <c s="1832"/>
      <c s="1849"/>
      <c s="1786"/>
      <c s="1850"/>
      <c s="1832"/>
      <c s="1832"/>
      <c s="1851"/>
      <c s="1762"/>
      <c s="1758"/>
      <c s="1758"/>
      <c s="2050"/>
      <c s="1789"/>
      <c s="2110"/>
      <c s="2110" t="s">
        <v>109</v>
      </c>
      <c s="2504" t="s">
        <v>22</v>
      </c>
      <c s="2109" t="s">
        <v>65</v>
      </c>
      <c s="1813"/>
      <c s="1813" t="s">
        <v>109</v>
      </c>
      <c s="1845" t="s">
        <v>22</v>
      </c>
      <c s="1803"/>
      <c r="Y169" s="1269"/>
      <c s="1269"/>
      <c s="1269"/>
      <c s="1269"/>
      <c s="1269"/>
      <c s="1269"/>
      <c s="1269"/>
      <c s="1269"/>
      <c s="1269"/>
      <c s="1269"/>
      <c s="1269"/>
      <c s="1269"/>
      <c s="1269"/>
      <c s="1846"/>
      <c s="1846"/>
      <c s="1269"/>
      <c s="1269"/>
      <c s="1269"/>
      <c s="1269"/>
    </row>
    <row r="170" spans="1:37" s="1855" customFormat="1" ht="17.25" customHeight="1">
      <c r="A170" s="1842"/>
      <c r="C170" s="1847"/>
      <c s="1832"/>
      <c s="1849"/>
      <c s="1786"/>
      <c s="1850"/>
      <c s="1832"/>
      <c s="1832"/>
      <c s="1851"/>
      <c s="1762"/>
      <c s="1758"/>
      <c s="1758"/>
      <c s="2050"/>
      <c s="1789"/>
      <c s="2110"/>
      <c s="2110"/>
      <c s="2504"/>
      <c s="2109"/>
      <c s="319"/>
      <c s="320"/>
      <c s="320" t="s">
        <v>414</v>
      </c>
      <c s="321"/>
      <c r="Y170" s="1261"/>
      <c s="1261"/>
      <c s="1261"/>
      <c s="1261"/>
      <c s="1261"/>
      <c s="1261"/>
      <c s="1261"/>
      <c s="1261"/>
      <c s="1261"/>
      <c s="1261"/>
      <c s="1261"/>
      <c s="1261"/>
      <c s="1261"/>
    </row>
    <row r="171" spans="7:13" ht="17.25" customHeight="1">
      <c r="G171" s="1841"/>
      <c s="1841"/>
      <c s="1841"/>
      <c r="M171" s="1837"/>
    </row>
    <row r="172" spans="1:43" s="1855" customFormat="1" ht="17.25" customHeight="1">
      <c r="A172" s="1842"/>
      <c r="C172" s="1844"/>
      <c s="1832"/>
      <c s="1849"/>
      <c s="1786"/>
      <c s="1850"/>
      <c s="1758"/>
      <c s="1758"/>
      <c s="1759"/>
      <c s="1850"/>
      <c s="1758"/>
      <c s="1758"/>
      <c s="1850"/>
      <c s="1850"/>
      <c s="1758"/>
      <c s="1758"/>
      <c s="1760"/>
      <c s="1850"/>
      <c s="1813"/>
      <c s="1813" t="s">
        <v>109</v>
      </c>
      <c s="1845" t="s">
        <v>22</v>
      </c>
      <c s="1803"/>
      <c r="Y172" s="1269"/>
      <c s="1269"/>
      <c s="1269"/>
      <c s="1269"/>
      <c s="1269"/>
      <c s="1269"/>
      <c s="1269"/>
      <c s="1269"/>
      <c s="1269"/>
      <c s="1269"/>
      <c s="1269"/>
      <c s="1269"/>
      <c s="1269"/>
      <c s="1846"/>
      <c s="1846"/>
      <c s="1269"/>
      <c s="1269"/>
      <c s="1269"/>
      <c s="1269"/>
    </row>
    <row r="174" spans="1:1" s="1817" customFormat="1" ht="17.25" customHeight="1">
      <c r="A174" s="1817" t="s">
        <v>1939</v>
      </c>
    </row>
    <row r="175" spans="7:13" ht="17.25" customHeight="1">
      <c r="G175" s="1841"/>
      <c s="1841"/>
      <c s="1841"/>
      <c r="M175" s="1837"/>
    </row>
    <row r="176" spans="1:43" s="1855" customFormat="1" ht="17.25" customHeight="1">
      <c r="A176" s="1842"/>
      <c r="C176" s="1844"/>
      <c s="2531"/>
      <c s="2145"/>
      <c s="2147"/>
      <c s="2533"/>
      <c s="2531"/>
      <c s="2531">
        <v>1</v>
      </c>
      <c s="2503"/>
      <c s="2187" t="s">
        <v>65</v>
      </c>
      <c s="2110"/>
      <c s="2110" t="s">
        <v>109</v>
      </c>
      <c s="2506" t="str">
        <f>IF(Z176="","",INDEX(TERRITORY_MR_LIST,MATCH(Z176,TERRITORY_LIST_ID,0)))</f>
        <v/>
      </c>
      <c s="2187" t="s">
        <v>65</v>
      </c>
      <c s="2110"/>
      <c s="2110" t="s">
        <v>109</v>
      </c>
      <c s="2504" t="s">
        <v>22</v>
      </c>
      <c s="2408" t="s">
        <v>19</v>
      </c>
      <c s="1804"/>
      <c s="1804" t="s">
        <v>109</v>
      </c>
      <c s="1436"/>
      <c s="2503"/>
      <c r="Y176" s="1269"/>
      <c s="1269"/>
      <c s="1269"/>
      <c s="1269"/>
      <c s="1269"/>
      <c s="1269"/>
      <c s="1269"/>
      <c s="1269"/>
      <c s="1269"/>
      <c s="1269"/>
      <c s="1269"/>
      <c s="1269"/>
      <c s="1269"/>
      <c s="1846"/>
      <c s="1846"/>
      <c s="1269"/>
      <c s="1269"/>
      <c s="1269"/>
      <c s="1269"/>
    </row>
    <row r="177" spans="1:37" s="1855" customFormat="1" ht="17.25" customHeight="1">
      <c r="A177" s="1842"/>
      <c r="C177" s="1847"/>
      <c s="2531"/>
      <c s="2145"/>
      <c s="2148"/>
      <c s="2533"/>
      <c s="2531"/>
      <c s="2531"/>
      <c s="2503"/>
      <c s="2188"/>
      <c s="2110"/>
      <c s="2110"/>
      <c s="2506"/>
      <c s="2188"/>
      <c s="2110"/>
      <c s="2110"/>
      <c s="2504"/>
      <c s="2408"/>
      <c s="1437"/>
      <c s="1438"/>
      <c s="1438"/>
      <c s="2503"/>
      <c r="Y177" s="1261"/>
      <c s="1261"/>
      <c s="1261"/>
      <c s="1261"/>
      <c s="1261"/>
      <c s="1261"/>
      <c s="1261"/>
      <c s="1261"/>
      <c s="1261"/>
      <c s="1261"/>
      <c s="1261"/>
      <c s="1261"/>
      <c s="1261"/>
    </row>
    <row r="178" spans="1:37" s="1855" customFormat="1" ht="17.25" customHeight="1">
      <c r="A178" s="1842"/>
      <c r="C178" s="1847"/>
      <c s="2505"/>
      <c s="2532"/>
      <c s="2148"/>
      <c s="2534"/>
      <c s="2505"/>
      <c s="2505"/>
      <c s="2535"/>
      <c s="2188"/>
      <c s="2505"/>
      <c s="2505"/>
      <c s="2507"/>
      <c s="2114"/>
      <c s="319"/>
      <c s="320"/>
      <c s="320" t="s">
        <v>415</v>
      </c>
      <c s="1848"/>
      <c s="1848"/>
      <c s="1848"/>
      <c s="1848"/>
      <c s="1435"/>
      <c r="Y178" s="1261"/>
      <c s="1261"/>
      <c s="1261"/>
      <c s="1261"/>
      <c s="1261"/>
      <c s="1261"/>
      <c s="1261"/>
      <c s="1261"/>
      <c s="1261"/>
      <c s="1261"/>
      <c s="1261"/>
      <c s="1261"/>
      <c s="1261"/>
    </row>
    <row r="179" spans="1:37" s="1855" customFormat="1" ht="17.25" customHeight="1">
      <c r="A179" s="1842"/>
      <c r="C179" s="1847"/>
      <c s="2505"/>
      <c s="2532"/>
      <c s="2148"/>
      <c s="2534"/>
      <c s="2505"/>
      <c s="2505"/>
      <c s="2535"/>
      <c s="2114"/>
      <c s="319"/>
      <c s="320"/>
      <c s="320" t="s">
        <v>416</v>
      </c>
      <c s="320"/>
      <c s="320"/>
      <c s="320"/>
      <c s="320"/>
      <c s="1848"/>
      <c s="1848"/>
      <c s="1848"/>
      <c s="1848"/>
      <c s="321"/>
      <c r="Y179" s="1261"/>
      <c s="1261"/>
      <c s="1261"/>
      <c s="1261"/>
      <c s="1261"/>
      <c s="1261"/>
      <c s="1261"/>
      <c s="1261"/>
      <c s="1261"/>
      <c s="1261"/>
      <c s="1261"/>
      <c s="1261"/>
      <c s="1261"/>
    </row>
    <row r="180" spans="1:37" s="1855" customFormat="1" ht="17.25" customHeight="1">
      <c r="A180" s="1842"/>
      <c r="C180" s="1847"/>
      <c s="2505"/>
      <c s="2532"/>
      <c s="2149"/>
      <c s="2534"/>
      <c s="319"/>
      <c s="320"/>
      <c s="320" t="s">
        <v>448</v>
      </c>
      <c s="320"/>
      <c s="320"/>
      <c s="320"/>
      <c s="320"/>
      <c s="320"/>
      <c s="320"/>
      <c s="320"/>
      <c s="320"/>
      <c s="1848"/>
      <c s="1848"/>
      <c s="1848"/>
      <c s="1848"/>
      <c s="321"/>
      <c r="Y180" s="1261"/>
      <c s="1261"/>
      <c s="1261"/>
      <c s="1261"/>
      <c s="1261"/>
      <c s="1261"/>
      <c s="1261"/>
      <c s="1261"/>
      <c s="1261"/>
      <c s="1261"/>
      <c s="1261"/>
      <c s="1261"/>
      <c s="1261"/>
    </row>
    <row r="181" spans="1:1" ht="17.25" customHeight="1">
      <c r="A181" s="1852"/>
    </row>
    <row r="182" spans="1:43" s="1855" customFormat="1" ht="17.25" customHeight="1">
      <c r="A182" s="1842"/>
      <c r="C182" s="1844"/>
      <c s="1832"/>
      <c s="1849"/>
      <c s="1786"/>
      <c s="1850"/>
      <c s="2531"/>
      <c s="2531">
        <v>1</v>
      </c>
      <c s="2503"/>
      <c s="2187" t="s">
        <v>65</v>
      </c>
      <c s="2110"/>
      <c s="2110" t="s">
        <v>109</v>
      </c>
      <c s="2506" t="str">
        <f>IF(Z182="","",INDEX(TERRITORY_MR_LIST,MATCH(Z182,TERRITORY_LIST_ID,0)))</f>
        <v/>
      </c>
      <c s="2187" t="s">
        <v>65</v>
      </c>
      <c s="2110"/>
      <c s="2110" t="s">
        <v>109</v>
      </c>
      <c s="2504" t="s">
        <v>22</v>
      </c>
      <c s="2408" t="s">
        <v>19</v>
      </c>
      <c s="1804"/>
      <c s="1804" t="s">
        <v>109</v>
      </c>
      <c s="1436"/>
      <c s="2503"/>
      <c r="Y182" s="1269"/>
      <c s="1269"/>
      <c s="1269"/>
      <c s="1269"/>
      <c s="1269"/>
      <c s="1269"/>
      <c s="1269"/>
      <c s="1269"/>
      <c s="1269"/>
      <c s="1269"/>
      <c s="1269"/>
      <c s="1269"/>
      <c s="1269"/>
      <c s="1846"/>
      <c s="1846"/>
      <c s="1269"/>
      <c s="1269"/>
      <c s="1269"/>
      <c s="1269"/>
    </row>
    <row r="183" spans="1:37" s="1855" customFormat="1" ht="17.25" customHeight="1">
      <c r="A183" s="1842"/>
      <c r="C183" s="1847"/>
      <c s="1832"/>
      <c s="1849"/>
      <c s="1786"/>
      <c s="1850"/>
      <c s="2531"/>
      <c s="2531"/>
      <c s="2503"/>
      <c s="2188"/>
      <c s="2110"/>
      <c s="2110"/>
      <c s="2506"/>
      <c s="2188"/>
      <c s="2110"/>
      <c s="2110"/>
      <c s="2504"/>
      <c s="2408"/>
      <c s="1437"/>
      <c s="1438"/>
      <c s="1438"/>
      <c s="2503"/>
      <c r="Y183" s="1261"/>
      <c s="1261"/>
      <c s="1261"/>
      <c s="1261"/>
      <c s="1261"/>
      <c s="1261"/>
      <c s="1261"/>
      <c s="1261"/>
      <c s="1261"/>
      <c s="1261"/>
      <c s="1261"/>
      <c s="1261"/>
      <c s="1261"/>
    </row>
    <row r="184" spans="1:37" s="1855" customFormat="1" ht="17.25" customHeight="1">
      <c r="A184" s="1842"/>
      <c r="C184" s="1847"/>
      <c s="1832"/>
      <c s="1849"/>
      <c s="1786"/>
      <c s="1850"/>
      <c s="2505"/>
      <c s="2505"/>
      <c s="2535"/>
      <c s="2188"/>
      <c s="2505"/>
      <c s="2505"/>
      <c s="2507"/>
      <c s="2114"/>
      <c s="319"/>
      <c s="320"/>
      <c s="320" t="s">
        <v>415</v>
      </c>
      <c s="1848"/>
      <c s="1848"/>
      <c s="1848"/>
      <c s="1848"/>
      <c s="1435"/>
      <c r="Y184" s="1261"/>
      <c s="1261"/>
      <c s="1261"/>
      <c s="1261"/>
      <c s="1261"/>
      <c s="1261"/>
      <c s="1261"/>
      <c s="1261"/>
      <c s="1261"/>
      <c s="1261"/>
      <c s="1261"/>
      <c s="1261"/>
      <c s="1261"/>
    </row>
    <row r="185" spans="1:37" s="1855" customFormat="1" ht="17.25" customHeight="1">
      <c r="A185" s="1842"/>
      <c r="C185" s="1847"/>
      <c s="1832"/>
      <c s="1849"/>
      <c s="1786"/>
      <c s="1850"/>
      <c s="2505"/>
      <c s="2505"/>
      <c s="2535"/>
      <c s="2114"/>
      <c s="319"/>
      <c s="320"/>
      <c s="320" t="s">
        <v>416</v>
      </c>
      <c s="320"/>
      <c s="320"/>
      <c s="320"/>
      <c s="320"/>
      <c s="1848"/>
      <c s="1848"/>
      <c s="1848"/>
      <c s="1848"/>
      <c s="321"/>
      <c r="Y185" s="1261"/>
      <c s="1261"/>
      <c s="1261"/>
      <c s="1261"/>
      <c s="1261"/>
      <c s="1261"/>
      <c s="1261"/>
      <c s="1261"/>
      <c s="1261"/>
      <c s="1261"/>
      <c s="1261"/>
      <c s="1261"/>
      <c s="1261"/>
    </row>
    <row r="186" spans="1:1" ht="17.25" customHeight="1">
      <c r="A186" s="1852"/>
    </row>
    <row r="187" spans="1:43" s="1855" customFormat="1" ht="17.25" customHeight="1">
      <c r="A187" s="1842"/>
      <c r="C187" s="1844"/>
      <c s="1832"/>
      <c s="1849"/>
      <c s="1786"/>
      <c s="1850"/>
      <c s="1832"/>
      <c s="1832"/>
      <c s="1853"/>
      <c s="1850"/>
      <c s="2110"/>
      <c s="2110" t="s">
        <v>109</v>
      </c>
      <c s="2506" t="str">
        <f>IF(Z187="","",INDEX(TERRITORY_MR_LIST,MATCH(Z187,TERRITORY_LIST_ID,0)))</f>
        <v/>
      </c>
      <c s="2187" t="s">
        <v>65</v>
      </c>
      <c s="2110"/>
      <c s="2110" t="s">
        <v>109</v>
      </c>
      <c s="2504" t="s">
        <v>22</v>
      </c>
      <c s="2408" t="s">
        <v>19</v>
      </c>
      <c s="1804"/>
      <c s="1804" t="s">
        <v>109</v>
      </c>
      <c s="1436"/>
      <c s="2503"/>
      <c r="Y187" s="1269"/>
      <c s="1269"/>
      <c s="1269"/>
      <c s="1269"/>
      <c s="1269"/>
      <c s="1269"/>
      <c s="1269"/>
      <c s="1269"/>
      <c s="1269"/>
      <c s="1269"/>
      <c s="1269"/>
      <c s="1269"/>
      <c s="1269"/>
      <c s="1846"/>
      <c s="1846"/>
      <c s="1269"/>
      <c s="1269"/>
      <c s="1269"/>
      <c s="1269"/>
    </row>
    <row r="188" spans="1:37" s="1855" customFormat="1" ht="17.25" customHeight="1">
      <c r="A188" s="1842"/>
      <c r="C188" s="1847"/>
      <c s="1832"/>
      <c s="1849"/>
      <c s="1786"/>
      <c s="1850"/>
      <c s="1832"/>
      <c s="1832"/>
      <c s="1853"/>
      <c s="1850"/>
      <c s="2110"/>
      <c s="2110"/>
      <c s="2506"/>
      <c s="2188"/>
      <c s="2110"/>
      <c s="2110"/>
      <c s="2504"/>
      <c s="2408"/>
      <c s="1437"/>
      <c s="1438"/>
      <c s="1438"/>
      <c s="2503"/>
      <c r="Y188" s="1261"/>
      <c s="1261"/>
      <c s="1261"/>
      <c s="1261"/>
      <c s="1261"/>
      <c s="1261"/>
      <c s="1261"/>
      <c s="1261"/>
      <c s="1261"/>
      <c s="1261"/>
      <c s="1261"/>
      <c s="1261"/>
      <c s="1261"/>
    </row>
    <row r="189" spans="1:37" s="1855" customFormat="1" ht="17.25" customHeight="1">
      <c r="A189" s="1842"/>
      <c r="C189" s="1847"/>
      <c s="1832"/>
      <c s="1849"/>
      <c s="1786"/>
      <c s="1850"/>
      <c s="1832"/>
      <c s="1832"/>
      <c s="1853"/>
      <c s="1850"/>
      <c s="2505"/>
      <c s="2505"/>
      <c s="2507"/>
      <c s="2114"/>
      <c s="319"/>
      <c s="320"/>
      <c s="320" t="s">
        <v>415</v>
      </c>
      <c s="1848"/>
      <c s="1848"/>
      <c s="1848"/>
      <c s="1848"/>
      <c s="1435"/>
      <c r="Y189" s="1261"/>
      <c s="1261"/>
      <c s="1261"/>
      <c s="1261"/>
      <c s="1261"/>
      <c s="1261"/>
      <c s="1261"/>
      <c s="1261"/>
      <c s="1261"/>
      <c s="1261"/>
      <c s="1261"/>
      <c s="1261"/>
      <c s="1261"/>
    </row>
    <row r="190" spans="1:1" ht="17.25" customHeight="1">
      <c r="A190" s="1852"/>
    </row>
    <row r="191" spans="1:43" s="1855" customFormat="1" ht="17.25" customHeight="1">
      <c r="A191" s="1842"/>
      <c r="C191" s="1844"/>
      <c s="1832"/>
      <c s="1849"/>
      <c s="1786"/>
      <c s="1850"/>
      <c s="1832"/>
      <c s="1832"/>
      <c s="1853"/>
      <c s="1850"/>
      <c s="1832"/>
      <c s="1832"/>
      <c s="2050"/>
      <c s="1789"/>
      <c s="2110"/>
      <c s="2110" t="s">
        <v>109</v>
      </c>
      <c s="2504" t="s">
        <v>22</v>
      </c>
      <c s="2408" t="s">
        <v>19</v>
      </c>
      <c s="1804"/>
      <c s="1804" t="s">
        <v>109</v>
      </c>
      <c s="1436"/>
      <c s="2503"/>
      <c r="Y191" s="1269"/>
      <c s="1269"/>
      <c s="1269"/>
      <c s="1269"/>
      <c s="1269"/>
      <c s="1269"/>
      <c s="1269"/>
      <c s="1269"/>
      <c s="1269"/>
      <c s="1269"/>
      <c s="1269"/>
      <c s="1269"/>
      <c s="1269"/>
      <c s="1846"/>
      <c s="1846"/>
      <c s="1269"/>
      <c s="1269"/>
      <c s="1269"/>
      <c s="1269"/>
    </row>
    <row r="192" spans="1:37" s="1855" customFormat="1" ht="17.25" customHeight="1">
      <c r="A192" s="1842"/>
      <c r="C192" s="1847"/>
      <c s="1832"/>
      <c s="1849"/>
      <c s="1786"/>
      <c s="1850"/>
      <c s="1832"/>
      <c s="1832"/>
      <c s="1853"/>
      <c s="1850"/>
      <c s="1832"/>
      <c s="1832"/>
      <c s="2050"/>
      <c s="1789"/>
      <c s="2110"/>
      <c s="2110"/>
      <c s="2504"/>
      <c s="2408"/>
      <c s="1437"/>
      <c s="1438"/>
      <c s="1438"/>
      <c s="2503"/>
      <c r="Y192" s="1261"/>
      <c s="1261"/>
      <c s="1261"/>
      <c s="1261"/>
      <c s="1261"/>
      <c s="1261"/>
      <c s="1261"/>
      <c s="1261"/>
      <c s="1261"/>
      <c s="1261"/>
      <c s="1261"/>
      <c s="1261"/>
      <c s="1261"/>
    </row>
    <row r="193" spans="1:1" ht="17.25" customHeight="1">
      <c r="A193" s="1852"/>
    </row>
    <row r="194" spans="1:23" ht="16.5" customHeight="1">
      <c r="A194" s="1842"/>
      <c s="1843"/>
      <c s="1847"/>
      <c s="2555"/>
      <c s="2181"/>
      <c s="2181"/>
      <c s="2129"/>
      <c s="2556"/>
      <c s="2569"/>
      <c s="2154"/>
      <c s="2139"/>
      <c s="2139"/>
      <c s="2139"/>
      <c s="2567"/>
      <c s="2139"/>
      <c s="2139"/>
      <c s="2139"/>
      <c s="2565"/>
      <c s="2139"/>
      <c s="1785"/>
      <c s="1785"/>
      <c s="1854"/>
      <c s="1298"/>
    </row>
    <row r="195" spans="1:23" ht="16.5" customHeight="1">
      <c r="A195" s="1842"/>
      <c s="1843"/>
      <c s="1847"/>
      <c s="2555"/>
      <c s="2181"/>
      <c s="2181"/>
      <c s="2129"/>
      <c s="2557"/>
      <c s="2570"/>
      <c s="2155"/>
      <c s="2140"/>
      <c s="2140"/>
      <c s="2140"/>
      <c s="2568"/>
      <c s="2140"/>
      <c s="2140"/>
      <c s="2140"/>
      <c s="2566"/>
      <c s="2140"/>
      <c s="1299"/>
      <c s="1299"/>
      <c s="1299"/>
      <c s="1300"/>
    </row>
    <row r="196" spans="1:23" ht="17.25" customHeight="1">
      <c r="A196" s="1842"/>
      <c s="1843"/>
      <c s="1847"/>
      <c s="2555"/>
      <c s="2181"/>
      <c s="2181"/>
      <c s="2129"/>
      <c s="2557"/>
      <c s="2570"/>
      <c s="2558"/>
      <c s="2140"/>
      <c s="2140"/>
      <c s="2140"/>
      <c s="2566"/>
      <c s="2140"/>
      <c s="1788"/>
      <c s="1299"/>
      <c s="1299"/>
      <c s="1855"/>
      <c s="1855"/>
      <c s="1855"/>
      <c s="1855"/>
      <c s="1300"/>
    </row>
    <row r="197" spans="1:23" ht="17.25" customHeight="1">
      <c r="A197" s="1842"/>
      <c s="1843"/>
      <c s="1847"/>
      <c s="2555"/>
      <c s="2181"/>
      <c s="2181"/>
      <c s="2129"/>
      <c s="2557"/>
      <c s="2570"/>
      <c s="2558"/>
      <c s="2140"/>
      <c s="1299"/>
      <c s="1299"/>
      <c s="1299"/>
      <c s="1299"/>
      <c s="1299"/>
      <c s="1299"/>
      <c s="1299"/>
      <c s="1855"/>
      <c s="1855"/>
      <c s="1855"/>
      <c s="1855"/>
      <c s="1300"/>
    </row>
    <row r="198" spans="1:23" ht="17.25" customHeight="1">
      <c r="A198" s="1842"/>
      <c s="1843"/>
      <c s="1847"/>
      <c s="2555"/>
      <c s="2181"/>
      <c s="2181"/>
      <c s="2129"/>
      <c s="1301"/>
      <c s="1302"/>
      <c s="1302"/>
      <c s="1302"/>
      <c s="1302"/>
      <c s="1302"/>
      <c s="1302"/>
      <c s="1302"/>
      <c s="1302"/>
      <c s="1302"/>
      <c s="1302"/>
      <c s="1856"/>
      <c s="1856"/>
      <c s="1856"/>
      <c s="1856"/>
      <c s="1304"/>
    </row>
    <row r="200" spans="1:1" s="1817" customFormat="1" ht="17.25" customHeight="1">
      <c r="A200" s="1817" t="s">
        <v>1940</v>
      </c>
    </row>
    <row r="201" spans="7:13" ht="17.25" customHeight="1">
      <c r="G201" s="1841"/>
      <c s="1841"/>
      <c s="1841"/>
      <c r="M201" s="1837"/>
    </row>
    <row r="202" spans="4:35" s="1852" customFormat="1" ht="15" customHeight="1">
      <c r="D202" s="2525"/>
      <c s="2201"/>
      <c s="2201"/>
      <c s="2187"/>
      <c s="1566"/>
      <c s="2529">
        <v>1</v>
      </c>
      <c s="2503"/>
      <c s="1581"/>
      <c s="2187" t="s">
        <v>65</v>
      </c>
      <c s="2187" t="s">
        <v>65</v>
      </c>
      <c s="1566"/>
      <c s="2110" t="s">
        <v>109</v>
      </c>
      <c s="2519"/>
      <c s="1582"/>
      <c s="2187" t="s">
        <v>65</v>
      </c>
      <c s="2187" t="s">
        <v>65</v>
      </c>
      <c s="1857"/>
      <c s="2110" t="s">
        <v>109</v>
      </c>
      <c s="2526" t="str">
        <f>IF(AK202="","",INDEX(TERRITORY_MR_LIST,MATCH(AK202,TERRITORY_LIST_ID,0)))</f>
        <v/>
      </c>
      <c s="1583"/>
      <c s="2187" t="s">
        <v>65</v>
      </c>
      <c s="2187" t="s">
        <v>19</v>
      </c>
      <c s="1566"/>
      <c s="2110" t="s">
        <v>109</v>
      </c>
      <c s="2528"/>
      <c s="1584"/>
      <c s="2187" t="s">
        <v>65</v>
      </c>
      <c s="2187" t="s">
        <v>19</v>
      </c>
      <c s="1564"/>
      <c s="1813" t="s">
        <v>109</v>
      </c>
      <c s="1574"/>
      <c s="1803"/>
    </row>
    <row r="203" spans="4:35" s="1852" customFormat="1" ht="15" customHeight="1">
      <c r="D203" s="2525"/>
      <c s="2201"/>
      <c s="2201"/>
      <c s="2188"/>
      <c s="1566"/>
      <c s="2529"/>
      <c s="2503"/>
      <c s="1565"/>
      <c s="2188"/>
      <c s="2188"/>
      <c s="1566"/>
      <c s="2110"/>
      <c s="2519"/>
      <c s="1562"/>
      <c s="2188"/>
      <c s="2188"/>
      <c s="1857"/>
      <c s="2110"/>
      <c s="2527"/>
      <c s="1563"/>
      <c s="2188"/>
      <c s="2188"/>
      <c s="1566"/>
      <c s="2110"/>
      <c s="2497"/>
      <c s="1567"/>
      <c s="2114"/>
      <c s="2114"/>
      <c s="1568"/>
      <c s="1569"/>
      <c s="2520" t="s">
        <v>1941</v>
      </c>
      <c s="2521"/>
    </row>
    <row r="204" spans="4:35" s="1852" customFormat="1" ht="15" customHeight="1">
      <c r="D204" s="2525"/>
      <c s="2201"/>
      <c s="2201"/>
      <c s="2188"/>
      <c s="1566"/>
      <c s="2529"/>
      <c s="2503"/>
      <c s="1565"/>
      <c s="2188"/>
      <c s="2188"/>
      <c s="1566"/>
      <c s="2110"/>
      <c s="2519"/>
      <c s="1562"/>
      <c s="2188"/>
      <c s="2188"/>
      <c s="1857"/>
      <c s="2110"/>
      <c s="2527"/>
      <c s="1563"/>
      <c s="2188"/>
      <c s="2188"/>
      <c s="1605"/>
      <c s="1571"/>
      <c s="2522" t="s">
        <v>1942</v>
      </c>
      <c s="2522"/>
      <c s="2522"/>
      <c s="2522"/>
      <c s="2522"/>
      <c s="2522"/>
      <c s="2522"/>
      <c s="2523"/>
    </row>
    <row r="205" spans="4:35" s="1852" customFormat="1" ht="15" customHeight="1">
      <c r="D205" s="2525"/>
      <c s="2201"/>
      <c s="2201"/>
      <c s="2188"/>
      <c s="1566"/>
      <c s="2529"/>
      <c s="2503"/>
      <c s="1565"/>
      <c s="2188"/>
      <c s="2188"/>
      <c s="1566"/>
      <c s="2110"/>
      <c s="2524"/>
      <c s="1562"/>
      <c s="2188"/>
      <c s="2188"/>
      <c s="1858"/>
      <c s="1606"/>
      <c s="2520" t="s">
        <v>103</v>
      </c>
      <c s="2520"/>
      <c s="2520"/>
      <c s="2520"/>
      <c s="2520"/>
      <c s="2520"/>
      <c s="2520"/>
      <c s="2520"/>
      <c s="2520"/>
      <c s="2520"/>
      <c s="2520"/>
      <c s="2520"/>
      <c s="2520"/>
      <c s="2521"/>
    </row>
    <row r="206" spans="4:35" s="1852" customFormat="1" ht="11.25" customHeight="1">
      <c r="D206" s="2525"/>
      <c s="2201"/>
      <c s="2201"/>
      <c s="2188"/>
      <c s="1570"/>
      <c s="2529"/>
      <c s="2530"/>
      <c s="1565"/>
      <c s="2188"/>
      <c s="2188"/>
      <c s="1570"/>
      <c s="1571"/>
      <c s="2520" t="s">
        <v>1943</v>
      </c>
      <c s="2520"/>
      <c s="2520"/>
      <c s="2520"/>
      <c s="2520"/>
      <c s="2520"/>
      <c s="2520"/>
      <c s="2520"/>
      <c s="2520"/>
      <c s="2520"/>
      <c s="2520"/>
      <c s="2520"/>
      <c s="2520"/>
      <c s="2520"/>
      <c s="2520"/>
      <c s="2520"/>
      <c s="2520"/>
      <c s="2520"/>
      <c s="2520"/>
      <c s="2521"/>
    </row>
    <row r="207" spans="4:63" s="1556" customFormat="1" ht="11.25" customHeight="1">
      <c r="D207" s="2525"/>
      <c s="2201"/>
      <c s="2201"/>
      <c s="2114"/>
      <c s="1572"/>
      <c s="1573"/>
      <c s="2520" t="s">
        <v>448</v>
      </c>
      <c s="2520"/>
      <c s="2520"/>
      <c s="2520"/>
      <c s="2520"/>
      <c s="2520"/>
      <c s="2520"/>
      <c s="2520"/>
      <c s="2520"/>
      <c s="2520"/>
      <c s="2520"/>
      <c s="2520"/>
      <c s="2520"/>
      <c s="2520"/>
      <c s="2520"/>
      <c s="2520"/>
      <c s="2520"/>
      <c s="2520"/>
      <c s="2520"/>
      <c s="2520"/>
      <c s="2520"/>
      <c s="2520"/>
      <c s="2520"/>
      <c s="2520"/>
      <c s="2520"/>
      <c s="2521"/>
      <c r="BK207" s="1576"/>
    </row>
    <row r="208" spans="7:14" ht="17.25" customHeight="1">
      <c r="G208" s="1841"/>
      <c r="I208" s="1841"/>
      <c s="1841"/>
      <c r="N208" s="1837"/>
    </row>
    <row r="209" spans="4:35" s="1852" customFormat="1" ht="15" customHeight="1">
      <c r="D209" s="2525"/>
      <c s="2201"/>
      <c s="2201"/>
      <c s="2181"/>
      <c s="1601"/>
      <c s="2183"/>
      <c s="2154"/>
      <c s="1787"/>
      <c s="2139"/>
      <c s="2139"/>
      <c s="1586"/>
      <c s="2139"/>
      <c s="2154"/>
      <c s="1791"/>
      <c s="2139"/>
      <c s="2139"/>
      <c s="1859"/>
      <c s="2139"/>
      <c s="2154"/>
      <c s="1589"/>
      <c s="2139"/>
      <c s="2139"/>
      <c s="1586"/>
      <c s="2139"/>
      <c s="2154"/>
      <c s="1590"/>
      <c s="2139"/>
      <c s="2139"/>
      <c s="1785"/>
      <c s="1785"/>
      <c s="1591"/>
      <c s="1298"/>
    </row>
    <row r="210" spans="4:35" s="1852" customFormat="1" ht="15" customHeight="1">
      <c r="D210" s="2525"/>
      <c s="2201"/>
      <c s="2201"/>
      <c s="2181"/>
      <c s="1602"/>
      <c s="2184"/>
      <c s="2155"/>
      <c s="1612"/>
      <c s="2140"/>
      <c s="2140"/>
      <c s="1592"/>
      <c s="2140"/>
      <c s="2155"/>
      <c s="1792"/>
      <c s="2140"/>
      <c s="2140"/>
      <c s="1860"/>
      <c s="2140"/>
      <c s="2155"/>
      <c s="1595"/>
      <c s="2140"/>
      <c s="2140"/>
      <c s="1592"/>
      <c s="2140"/>
      <c s="2155"/>
      <c s="1596"/>
      <c s="2140"/>
      <c s="2140"/>
      <c s="1790"/>
      <c s="1790"/>
      <c s="2179"/>
      <c s="2180"/>
    </row>
    <row r="211" spans="4:35" s="1852" customFormat="1" ht="15" customHeight="1">
      <c r="D211" s="2525"/>
      <c s="2201"/>
      <c s="2201"/>
      <c s="2181"/>
      <c s="1602"/>
      <c s="2184"/>
      <c s="2155"/>
      <c s="1612"/>
      <c s="2140"/>
      <c s="2140"/>
      <c s="1592"/>
      <c s="2140"/>
      <c s="2155"/>
      <c s="1792"/>
      <c s="2140"/>
      <c s="2140"/>
      <c s="1860"/>
      <c s="2140"/>
      <c s="2155"/>
      <c s="1595"/>
      <c s="2140"/>
      <c s="2140"/>
      <c s="1788"/>
      <c s="1790"/>
      <c s="2179"/>
      <c s="2179"/>
      <c s="2179"/>
      <c s="2179"/>
      <c s="2179"/>
      <c s="2179"/>
      <c s="2179"/>
      <c s="2180"/>
    </row>
    <row r="212" spans="4:35" s="1852" customFormat="1" ht="15" customHeight="1">
      <c r="D212" s="2525"/>
      <c s="2201"/>
      <c s="2201"/>
      <c s="2181"/>
      <c s="1602"/>
      <c s="2184"/>
      <c s="2155"/>
      <c s="1612"/>
      <c s="2140"/>
      <c s="2140"/>
      <c s="1592"/>
      <c s="2140"/>
      <c s="2155"/>
      <c s="1792"/>
      <c s="2140"/>
      <c s="2140"/>
      <c s="1861"/>
      <c s="1599"/>
      <c s="2179"/>
      <c s="2179"/>
      <c s="2179"/>
      <c s="2179"/>
      <c s="2179"/>
      <c s="2179"/>
      <c s="2179"/>
      <c s="2179"/>
      <c s="2179"/>
      <c s="2179"/>
      <c s="2179"/>
      <c s="2179"/>
      <c s="2179"/>
      <c s="2180"/>
    </row>
    <row r="213" spans="4:35" s="1852" customFormat="1" ht="11.25" customHeight="1">
      <c r="D213" s="2525"/>
      <c s="2201"/>
      <c s="2201"/>
      <c s="2181"/>
      <c s="1603"/>
      <c s="2184"/>
      <c s="2155"/>
      <c s="1612"/>
      <c s="2140"/>
      <c s="2140"/>
      <c s="1790"/>
      <c s="1790"/>
      <c s="2179"/>
      <c s="2179"/>
      <c s="2179"/>
      <c s="2179"/>
      <c s="2179"/>
      <c s="2179"/>
      <c s="2179"/>
      <c s="2179"/>
      <c s="2179"/>
      <c s="2179"/>
      <c s="2179"/>
      <c s="2179"/>
      <c s="2179"/>
      <c s="2179"/>
      <c s="2179"/>
      <c s="2179"/>
      <c s="2179"/>
      <c s="2179"/>
      <c s="2179"/>
      <c s="2180"/>
    </row>
    <row r="214" spans="4:63" s="1556" customFormat="1" ht="11.25" customHeight="1">
      <c r="D214" s="2525"/>
      <c s="2201"/>
      <c s="2201"/>
      <c s="2186"/>
      <c s="1600"/>
      <c s="1604"/>
      <c s="2189"/>
      <c s="2189"/>
      <c s="2189"/>
      <c s="2189"/>
      <c s="2189"/>
      <c s="2189"/>
      <c s="2189"/>
      <c s="2189"/>
      <c s="2189"/>
      <c s="2189"/>
      <c s="2189"/>
      <c s="2189"/>
      <c s="2189"/>
      <c s="2189"/>
      <c s="2189"/>
      <c s="2189"/>
      <c s="2189"/>
      <c s="2189"/>
      <c s="2189"/>
      <c s="2189"/>
      <c s="2189"/>
      <c s="2189"/>
      <c s="2189"/>
      <c s="2189"/>
      <c s="2189"/>
      <c s="2190"/>
      <c r="BK214" s="1576"/>
    </row>
    <row r="215" spans="1:1" ht="17.25" customHeight="1">
      <c r="A215" s="1852"/>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CE8C0C-7CBE-8E68-BF1A-0.2D69F4DB}"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2"/>
    <col min="2" max="2" width="43.1428571428571" style="842" hidden="1"/>
    <col min="3" max="3" width="43.1428571428571" style="842"/>
    <col min="4" max="5" width="36.4285714285714" style="842" customWidth="1"/>
    <col min="6" max="8" width="36.4285714285714" style="983" customWidth="1"/>
  </cols>
  <sheetData>
    <row r="1" spans="1:8" ht="9" customHeight="1">
      <c r="A1" s="848" t="s">
        <v>1944</v>
      </c>
      <c s="848"/>
      <c s="984" t="s">
        <v>1945</v>
      </c>
      <c s="982" t="s">
        <v>808</v>
      </c>
      <c s="982" t="s">
        <v>854</v>
      </c>
      <c s="982" t="s">
        <v>907</v>
      </c>
      <c s="982" t="s">
        <v>894</v>
      </c>
      <c s="982" t="s">
        <v>1619</v>
      </c>
    </row>
    <row r="2" spans="1:8" ht="9" customHeight="1">
      <c r="A2" s="985" t="s">
        <v>1946</v>
      </c>
      <c s="985"/>
      <c s="986" t="str">
        <f>INDEX(TEMPLATE_NUMBER_FORM_LIST,MATCH(TEMPLATE_SPHERE,TEMPLATE_SPHERE_LIST,0))</f>
        <v>10</v>
      </c>
      <c s="985" t="s">
        <v>1469</v>
      </c>
      <c s="985" t="s">
        <v>151</v>
      </c>
      <c s="987" t="s">
        <v>151</v>
      </c>
      <c s="985" t="s">
        <v>151</v>
      </c>
      <c s="988"/>
    </row>
    <row r="3" spans="1:8" ht="63" customHeight="1">
      <c r="A3" s="848"/>
      <c s="848" t="s">
        <v>109</v>
      </c>
      <c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6" t="s">
        <v>1947</v>
      </c>
      <c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7"/>
      <c s="988"/>
      <c s="848"/>
    </row>
    <row r="4" spans="1:8" ht="243" customHeight="1">
      <c r="A4" s="848" t="s">
        <v>1948</v>
      </c>
      <c s="848" t="s">
        <v>110</v>
      </c>
      <c s="986" t="str">
        <f>IF(TEMPLATE_SPHERE="HEAT",D4,IF(TEMPLATE_SPHERE="TKO",H4,E4))</f>
        <v>Форма 1. Информация об организации, осуществляющей водоотведение (общая информация)</v>
      </c>
      <c s="985" t="s">
        <v>1949</v>
      </c>
      <c s="9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5"/>
      <c s="985"/>
      <c s="848" t="s">
        <v>1950</v>
      </c>
    </row>
    <row r="5" spans="1:8" ht="117" customHeight="1">
      <c r="A5" s="848" t="s">
        <v>1951</v>
      </c>
      <c s="848" t="s">
        <v>89</v>
      </c>
      <c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848" t="s">
        <v>1952</v>
      </c>
      <c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988"/>
      <c s="988"/>
      <c s="848" t="s">
        <v>1953</v>
      </c>
    </row>
    <row r="6" spans="1:8" ht="90" customHeight="1">
      <c r="A6" s="848" t="s">
        <v>1954</v>
      </c>
      <c s="848" t="s">
        <v>90</v>
      </c>
      <c s="98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48"/>
      <c s="848"/>
      <c s="988"/>
    </row>
    <row r="7" spans="1:8" ht="45" customHeight="1">
      <c r="A7" s="848" t="s">
        <v>1955</v>
      </c>
      <c s="848" t="s">
        <v>111</v>
      </c>
      <c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8" t="s">
        <v>1956</v>
      </c>
      <c s="848" t="s">
        <v>1957</v>
      </c>
      <c s="988"/>
      <c s="988"/>
      <c s="988"/>
    </row>
    <row r="8" spans="1:8" ht="108" customHeight="1">
      <c r="A8" s="848" t="s">
        <v>1958</v>
      </c>
      <c s="848" t="s">
        <v>91</v>
      </c>
      <c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8" t="s">
        <v>1156</v>
      </c>
      <c s="848" t="s">
        <v>1959</v>
      </c>
      <c s="988"/>
      <c s="988"/>
      <c s="988"/>
    </row>
    <row r="9" spans="1:8" ht="99" customHeight="1">
      <c r="A9" s="848" t="s">
        <v>1960</v>
      </c>
      <c s="848"/>
      <c s="848" t="s">
        <v>1961</v>
      </c>
      <c s="848"/>
      <c s="848"/>
      <c s="988"/>
      <c s="988"/>
      <c s="988"/>
    </row>
    <row r="10" spans="1:8" ht="126" customHeight="1">
      <c r="A10" s="848" t="s">
        <v>1962</v>
      </c>
      <c s="848"/>
      <c s="848" t="s">
        <v>1963</v>
      </c>
      <c s="848"/>
      <c s="848"/>
      <c s="988"/>
      <c s="988"/>
      <c s="988"/>
    </row>
    <row r="11" spans="1:8" ht="108" customHeight="1">
      <c r="A11" s="848" t="s">
        <v>1964</v>
      </c>
      <c s="848"/>
      <c s="848" t="s">
        <v>1965</v>
      </c>
      <c s="848"/>
      <c s="848"/>
      <c s="988"/>
      <c s="988"/>
      <c s="988"/>
    </row>
    <row r="12" spans="1:8" ht="54" customHeight="1">
      <c r="A12" s="848" t="s">
        <v>1966</v>
      </c>
      <c s="848"/>
      <c s="848" t="s">
        <v>1967</v>
      </c>
      <c s="848"/>
      <c s="848"/>
      <c s="988"/>
      <c s="988"/>
      <c s="988"/>
    </row>
    <row r="13" spans="1:8" ht="45" customHeight="1">
      <c r="A13" s="848" t="s">
        <v>1968</v>
      </c>
      <c s="848"/>
      <c s="848" t="s">
        <v>1969</v>
      </c>
      <c s="848"/>
      <c s="848"/>
      <c s="988"/>
      <c s="988"/>
      <c s="988"/>
    </row>
    <row r="14" spans="1:8" ht="117" customHeight="1">
      <c r="A14" s="848" t="s">
        <v>1970</v>
      </c>
      <c s="848"/>
      <c s="848" t="s">
        <v>1971</v>
      </c>
      <c s="848"/>
      <c s="848"/>
      <c s="988"/>
      <c s="988"/>
      <c s="988"/>
    </row>
    <row r="15" spans="1:8" ht="117" customHeight="1">
      <c r="A15" s="848" t="s">
        <v>1972</v>
      </c>
      <c s="848"/>
      <c s="848" t="s">
        <v>1973</v>
      </c>
      <c s="848"/>
      <c s="848"/>
      <c s="988"/>
      <c s="988"/>
      <c s="988"/>
    </row>
    <row r="16" spans="1:8" ht="63" customHeight="1">
      <c r="A16" s="848" t="s">
        <v>1974</v>
      </c>
      <c s="848"/>
      <c s="848" t="s">
        <v>1975</v>
      </c>
      <c s="848"/>
      <c s="848"/>
      <c s="988"/>
      <c s="988"/>
      <c s="988"/>
    </row>
    <row r="17" spans="1:8" ht="54" customHeight="1">
      <c r="A17" s="848" t="s">
        <v>1976</v>
      </c>
      <c s="848"/>
      <c s="986" t="s">
        <v>1977</v>
      </c>
      <c s="848"/>
      <c s="848"/>
      <c s="988"/>
      <c s="988"/>
      <c s="988"/>
    </row>
    <row r="18" spans="1:8" ht="27" customHeight="1">
      <c r="A18" s="848" t="s">
        <v>1978</v>
      </c>
      <c s="848"/>
      <c s="986" t="s">
        <v>1979</v>
      </c>
      <c s="848"/>
      <c s="848"/>
      <c s="988"/>
      <c s="988"/>
      <c s="988"/>
    </row>
    <row r="19" spans="1:8" ht="54" customHeight="1">
      <c r="A19" s="848" t="s">
        <v>1980</v>
      </c>
      <c s="848"/>
      <c s="986" t="s">
        <v>1981</v>
      </c>
      <c s="848"/>
      <c s="848"/>
      <c s="988"/>
      <c s="988"/>
      <c s="988"/>
    </row>
    <row r="20" spans="1:8" ht="36" customHeight="1">
      <c r="A20" s="848" t="s">
        <v>1982</v>
      </c>
      <c s="848"/>
      <c s="986" t="s">
        <v>1983</v>
      </c>
      <c s="848"/>
      <c s="848"/>
      <c s="988"/>
      <c s="988"/>
      <c s="988"/>
    </row>
    <row r="21" spans="1:8" ht="36" customHeight="1">
      <c r="A21" s="848" t="s">
        <v>1984</v>
      </c>
      <c s="848"/>
      <c s="986" t="s">
        <v>1985</v>
      </c>
      <c s="848"/>
      <c s="848"/>
      <c s="988"/>
      <c s="988"/>
      <c s="988"/>
    </row>
    <row r="22" spans="1:8" ht="27" customHeight="1">
      <c r="A22" s="848" t="s">
        <v>1986</v>
      </c>
      <c s="848"/>
      <c s="986" t="s">
        <v>1987</v>
      </c>
      <c s="848"/>
      <c s="848"/>
      <c s="988"/>
      <c s="988"/>
      <c s="988"/>
    </row>
    <row r="23" spans="1:8" ht="36" customHeight="1">
      <c r="A23" s="848" t="s">
        <v>1988</v>
      </c>
      <c s="848"/>
      <c s="986" t="s">
        <v>1989</v>
      </c>
      <c s="848"/>
      <c s="848"/>
      <c s="988"/>
      <c s="988"/>
      <c s="988"/>
    </row>
    <row r="24" spans="1:8" ht="28.5" customHeight="1">
      <c r="A24" s="848" t="s">
        <v>1990</v>
      </c>
      <c s="848"/>
      <c s="986" t="s">
        <v>1991</v>
      </c>
      <c s="848"/>
      <c s="848"/>
      <c s="988"/>
      <c s="988"/>
      <c s="988"/>
    </row>
    <row r="25" spans="1:8" ht="36" customHeight="1">
      <c r="A25" s="848" t="s">
        <v>1992</v>
      </c>
      <c s="848"/>
      <c s="986" t="s">
        <v>1993</v>
      </c>
      <c s="848"/>
      <c s="848"/>
      <c s="988"/>
      <c s="988"/>
      <c s="988"/>
    </row>
    <row r="26" spans="1:8" ht="27" customHeight="1">
      <c r="A26" s="848" t="s">
        <v>1994</v>
      </c>
      <c s="848"/>
      <c s="986" t="s">
        <v>1995</v>
      </c>
      <c s="848"/>
      <c s="848"/>
      <c s="988"/>
      <c s="988"/>
      <c s="988"/>
    </row>
    <row r="27" spans="1:8" ht="36" customHeight="1">
      <c r="A27" s="848" t="s">
        <v>1996</v>
      </c>
      <c s="848"/>
      <c s="986" t="s">
        <v>1997</v>
      </c>
      <c s="848"/>
      <c s="848"/>
      <c s="988"/>
      <c s="988"/>
      <c s="988"/>
    </row>
    <row r="28" spans="1:8" ht="28.5" customHeight="1">
      <c r="A28" s="848" t="s">
        <v>1998</v>
      </c>
      <c s="848"/>
      <c s="986" t="s">
        <v>1999</v>
      </c>
      <c s="848"/>
      <c s="848"/>
      <c s="988"/>
      <c s="988"/>
      <c s="988"/>
    </row>
    <row r="29" spans="1:8" ht="126" customHeight="1">
      <c r="A29" s="848" t="s">
        <v>2000</v>
      </c>
      <c s="848" t="s">
        <v>1571</v>
      </c>
      <c s="98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848" t="s">
        <v>2001</v>
      </c>
      <c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988"/>
      <c s="988"/>
      <c s="848" t="s">
        <v>2002</v>
      </c>
    </row>
    <row r="30" spans="1:8" ht="36" customHeight="1">
      <c r="A30" s="848" t="s">
        <v>2003</v>
      </c>
      <c s="848"/>
      <c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848" t="s">
        <v>2004</v>
      </c>
      <c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988"/>
      <c s="988"/>
      <c s="988"/>
    </row>
    <row r="31" spans="1:8" ht="54" customHeight="1">
      <c r="A31" s="848" t="s">
        <v>2005</v>
      </c>
      <c s="848"/>
      <c s="986" t="str">
        <f>IF(TEMPLATE_SPHERE="HEAT",D31,IF(TEMPLATE_SPHERE="TKO",H31,E31))</f>
        <v>Форма 1. Информация об организации, осуществляющей водоотведение (общая информация)</v>
      </c>
      <c s="848" t="s">
        <v>2006</v>
      </c>
      <c s="85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8"/>
      <c s="988"/>
      <c s="988"/>
    </row>
    <row r="32" spans="1:8" ht="198" customHeight="1">
      <c r="A32" s="848" t="s">
        <v>2007</v>
      </c>
      <c s="848"/>
      <c s="986" t="str">
        <f>IF(TEMPLATE_SPHERE="HEAT",D32,IF(TEMPLATE_SPHERE="TKO",H32,E32))</f>
        <v>Форма 7. Информация об инвестиционных программах организации водоотведения и отчетах об их исполнении</v>
      </c>
      <c s="848" t="s">
        <v>2008</v>
      </c>
      <c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988"/>
      <c s="988"/>
      <c s="848" t="s">
        <v>2009</v>
      </c>
    </row>
    <row r="33" spans="1:8" ht="9" customHeight="1">
      <c r="A33" s="848"/>
      <c s="848"/>
      <c s="986"/>
      <c s="848"/>
      <c s="848"/>
      <c s="988"/>
      <c s="988"/>
      <c s="988"/>
    </row>
    <row r="34" spans="1:8" ht="9" customHeight="1">
      <c r="A34" s="848"/>
      <c s="848" t="s">
        <v>1507</v>
      </c>
      <c s="986">
        <f>INDEX(TEMPLATE_NAME_FORM_LIST,B34,MATCH(TEMPLATE_SPHERE,TEMPLATE_SPHERE_LIST,0))</f>
        <v>0</v>
      </c>
      <c s="848"/>
      <c s="848"/>
      <c s="988"/>
      <c s="988"/>
      <c s="988"/>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30CF77-C06B-4651-8AD7-0.62B42E16}"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2"/>
    <col min="3" max="7" width="8" style="844" customWidth="1"/>
    <col min="8" max="12" width="8.57142857142857" style="844" customWidth="1"/>
    <col min="13" max="14" width="27.7142857142857" style="844" customWidth="1"/>
    <col min="15" max="19" width="5.14285714285714" style="844" customWidth="1"/>
    <col min="20" max="24" width="27.7142857142857" style="844" customWidth="1"/>
    <col min="25" max="25" width="1.85714285714286" style="1003" customWidth="1"/>
    <col min="26" max="26" width="27.7142857142857" style="842" customWidth="1"/>
    <col min="27" max="27" width="27.7142857142857" style="853" customWidth="1"/>
    <col min="28" max="29" width="27.7142857142857" style="842" customWidth="1"/>
    <col min="30" max="30" width="3.85714285714286" style="842" customWidth="1"/>
    <col min="31" max="34" width="9.14285714285714" style="842"/>
  </cols>
  <sheetData>
    <row r="1" spans="1:30" s="841" customFormat="1" ht="18" customHeight="1">
      <c r="A1" s="900"/>
      <c s="900"/>
      <c s="900" t="s">
        <v>2010</v>
      </c>
      <c s="900"/>
      <c s="900"/>
      <c s="900"/>
      <c s="900"/>
      <c s="900" t="s">
        <v>2011</v>
      </c>
      <c s="900"/>
      <c s="900"/>
      <c s="900"/>
      <c s="900"/>
      <c s="900" t="s">
        <v>2012</v>
      </c>
      <c s="900" t="s">
        <v>2013</v>
      </c>
      <c s="2594" t="s">
        <v>2014</v>
      </c>
      <c s="2594"/>
      <c s="2594"/>
      <c s="2594"/>
      <c s="2594"/>
      <c s="2594" t="s">
        <v>2012</v>
      </c>
      <c s="2594"/>
      <c s="2594"/>
      <c s="2594"/>
      <c s="2594"/>
      <c s="1001"/>
      <c s="2594" t="s">
        <v>2015</v>
      </c>
      <c s="2594"/>
      <c s="2594"/>
      <c s="2594"/>
      <c s="2594"/>
    </row>
    <row r="2" spans="1:30" ht="18" customHeight="1">
      <c r="A2" s="848"/>
      <c s="848"/>
      <c s="843" t="s">
        <v>808</v>
      </c>
      <c s="843" t="s">
        <v>854</v>
      </c>
      <c s="843" t="s">
        <v>907</v>
      </c>
      <c s="843" t="s">
        <v>894</v>
      </c>
      <c s="843" t="s">
        <v>1619</v>
      </c>
      <c s="845"/>
      <c s="845"/>
      <c s="845"/>
      <c s="845"/>
      <c s="845"/>
      <c s="845"/>
      <c s="845"/>
      <c s="843" t="s">
        <v>808</v>
      </c>
      <c s="843" t="s">
        <v>854</v>
      </c>
      <c s="843" t="s">
        <v>894</v>
      </c>
      <c s="843" t="s">
        <v>907</v>
      </c>
      <c s="843" t="s">
        <v>1619</v>
      </c>
      <c s="843" t="s">
        <v>808</v>
      </c>
      <c s="843" t="s">
        <v>854</v>
      </c>
      <c s="843" t="s">
        <v>894</v>
      </c>
      <c s="843" t="s">
        <v>907</v>
      </c>
      <c s="843" t="s">
        <v>1619</v>
      </c>
      <c s="843"/>
      <c s="843" t="s">
        <v>808</v>
      </c>
      <c s="852" t="s">
        <v>854</v>
      </c>
      <c s="843" t="s">
        <v>894</v>
      </c>
      <c s="843" t="s">
        <v>907</v>
      </c>
      <c s="843" t="s">
        <v>1619</v>
      </c>
    </row>
    <row r="3" spans="1:34" ht="162" customHeight="1">
      <c r="A3" s="847" t="s">
        <v>27</v>
      </c>
      <c s="847"/>
      <c s="2598" t="s">
        <v>2016</v>
      </c>
      <c s="2599"/>
      <c s="2599"/>
      <c s="2600"/>
      <c s="845"/>
      <c s="845"/>
      <c s="845"/>
      <c s="845"/>
      <c s="845"/>
      <c s="845"/>
      <c s="845"/>
      <c s="84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5"/>
      <c s="845"/>
      <c s="845"/>
      <c s="845"/>
      <c s="845"/>
      <c s="845"/>
      <c s="845"/>
      <c s="845"/>
      <c s="845"/>
      <c s="845"/>
      <c s="1002"/>
      <c s="848" t="s">
        <v>2017</v>
      </c>
      <c s="845" t="s">
        <v>2018</v>
      </c>
      <c s="848" t="s">
        <v>2019</v>
      </c>
      <c s="848" t="s">
        <v>2020</v>
      </c>
      <c s="848"/>
      <c r="AG3" s="848"/>
      <c s="848"/>
    </row>
    <row r="4" spans="1:30" ht="9" customHeight="1">
      <c r="A4" s="847"/>
      <c s="847"/>
      <c s="845"/>
      <c s="845"/>
      <c s="845"/>
      <c s="845"/>
      <c s="845"/>
      <c s="845"/>
      <c s="845"/>
      <c s="845"/>
      <c s="845"/>
      <c s="845"/>
      <c s="845"/>
      <c s="845"/>
      <c s="845"/>
      <c s="845"/>
      <c s="845"/>
      <c s="845"/>
      <c s="845"/>
      <c s="845"/>
      <c s="845"/>
      <c s="845"/>
      <c s="845"/>
      <c s="845"/>
      <c s="1002"/>
      <c s="848"/>
      <c s="851"/>
      <c s="848"/>
      <c s="848"/>
      <c s="848"/>
    </row>
    <row r="5" spans="1:30" ht="9" customHeight="1">
      <c r="A5" s="847"/>
      <c s="847"/>
      <c s="845"/>
      <c s="845"/>
      <c s="845"/>
      <c s="845"/>
      <c s="845"/>
      <c s="845"/>
      <c s="845"/>
      <c s="845"/>
      <c s="845"/>
      <c s="845"/>
      <c s="845"/>
      <c s="845"/>
      <c s="845"/>
      <c s="845"/>
      <c s="845"/>
      <c s="845"/>
      <c s="845"/>
      <c s="845"/>
      <c s="845"/>
      <c s="845"/>
      <c s="845"/>
      <c s="845"/>
      <c s="1002"/>
      <c s="848"/>
      <c s="851"/>
      <c s="848"/>
      <c s="848"/>
      <c s="848"/>
    </row>
    <row r="6" spans="1:30" ht="9" customHeight="1">
      <c r="A6" s="847"/>
      <c s="847"/>
      <c s="845"/>
      <c s="845"/>
      <c s="845"/>
      <c s="845"/>
      <c s="845"/>
      <c s="845"/>
      <c s="845"/>
      <c s="845"/>
      <c s="845"/>
      <c s="845"/>
      <c s="845"/>
      <c s="845"/>
      <c s="845"/>
      <c s="845"/>
      <c s="845"/>
      <c s="845"/>
      <c s="845"/>
      <c s="845"/>
      <c s="845"/>
      <c s="845"/>
      <c s="845"/>
      <c s="845"/>
      <c s="1002"/>
      <c s="848"/>
      <c s="851"/>
      <c s="848"/>
      <c s="848"/>
      <c s="848"/>
    </row>
    <row r="7" spans="1:30" ht="9" customHeight="1">
      <c r="A7" s="847"/>
      <c s="847"/>
      <c s="845"/>
      <c s="845"/>
      <c s="845"/>
      <c s="845"/>
      <c s="845"/>
      <c s="845"/>
      <c s="845"/>
      <c s="845"/>
      <c s="845"/>
      <c s="845"/>
      <c s="845"/>
      <c s="845"/>
      <c s="845"/>
      <c s="845"/>
      <c s="845"/>
      <c s="845"/>
      <c s="845"/>
      <c s="845"/>
      <c s="845"/>
      <c s="845"/>
      <c s="845"/>
      <c s="845"/>
      <c s="1002"/>
      <c s="848"/>
      <c s="851"/>
      <c s="848"/>
      <c s="848"/>
      <c s="848"/>
    </row>
    <row r="8" spans="1:30" ht="9" customHeight="1">
      <c r="A8" s="847"/>
      <c s="847"/>
      <c s="845"/>
      <c s="845"/>
      <c s="845"/>
      <c s="845"/>
      <c s="845"/>
      <c s="845"/>
      <c s="845"/>
      <c s="845"/>
      <c s="845"/>
      <c s="845"/>
      <c s="845"/>
      <c s="845"/>
      <c s="845"/>
      <c s="845"/>
      <c s="845"/>
      <c s="845"/>
      <c s="845"/>
      <c s="845"/>
      <c s="845"/>
      <c s="845"/>
      <c s="845"/>
      <c s="845"/>
      <c s="1002"/>
      <c s="848"/>
      <c s="851"/>
      <c s="848"/>
      <c s="848"/>
      <c s="848"/>
    </row>
    <row r="9" spans="1:30" ht="9" customHeight="1">
      <c r="A9" s="847"/>
      <c s="847"/>
      <c s="845"/>
      <c s="845"/>
      <c s="845"/>
      <c s="845"/>
      <c s="845"/>
      <c s="845"/>
      <c s="845"/>
      <c s="845"/>
      <c s="845"/>
      <c s="845"/>
      <c s="845"/>
      <c s="845"/>
      <c s="845"/>
      <c s="845"/>
      <c s="845"/>
      <c s="845"/>
      <c s="845"/>
      <c s="845"/>
      <c s="845"/>
      <c s="845"/>
      <c s="845"/>
      <c s="845"/>
      <c s="1002"/>
      <c s="848"/>
      <c s="851"/>
      <c s="848"/>
      <c s="848"/>
      <c s="848"/>
    </row>
    <row r="10" spans="1:30" ht="9" customHeight="1">
      <c r="A10" s="901"/>
      <c s="901"/>
      <c s="901"/>
      <c s="901"/>
      <c s="901"/>
      <c s="901"/>
      <c s="901"/>
      <c s="901"/>
      <c s="901"/>
      <c s="901"/>
      <c s="901"/>
      <c s="901"/>
      <c s="901"/>
      <c s="901"/>
      <c s="901"/>
      <c s="901"/>
      <c s="901"/>
      <c s="901"/>
      <c s="901"/>
      <c s="901"/>
      <c s="901"/>
      <c s="901"/>
      <c s="901"/>
      <c s="901"/>
      <c s="901"/>
      <c s="901"/>
      <c s="901"/>
      <c s="901"/>
      <c s="901"/>
      <c s="901"/>
    </row>
    <row r="11" spans="1:30" ht="45" customHeight="1">
      <c r="A11" s="2595" t="s">
        <v>33</v>
      </c>
      <c s="901">
        <v>1</v>
      </c>
      <c s="2601" t="s">
        <v>1558</v>
      </c>
      <c s="2601" t="s">
        <v>1554</v>
      </c>
      <c s="2601" t="s">
        <v>1651</v>
      </c>
      <c s="2601" t="s">
        <v>2021</v>
      </c>
      <c s="2601"/>
      <c s="900" t="s">
        <v>2022</v>
      </c>
      <c s="900"/>
      <c s="900"/>
      <c s="900"/>
      <c s="900"/>
      <c s="846" t="str">
        <f>IF(TEMPLATE_SPHERE="HEAT",T11,U11)</f>
        <v>Количество поданных заявлений</v>
      </c>
      <c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5"/>
      <c s="845"/>
      <c s="845"/>
      <c s="845"/>
      <c s="845"/>
      <c s="845" t="s">
        <v>2023</v>
      </c>
      <c s="845" t="s">
        <v>2024</v>
      </c>
      <c s="845"/>
      <c s="845"/>
      <c s="845"/>
      <c s="1002"/>
      <c s="848" t="s">
        <v>2025</v>
      </c>
      <c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8"/>
      <c s="848"/>
      <c s="848"/>
    </row>
    <row r="12" spans="1:30" ht="45" customHeight="1">
      <c r="A12" s="2595"/>
      <c s="901">
        <v>2</v>
      </c>
      <c s="2602"/>
      <c s="2602"/>
      <c s="2602"/>
      <c s="2602"/>
      <c s="2602"/>
      <c s="900" t="s">
        <v>2026</v>
      </c>
      <c s="900"/>
      <c s="900"/>
      <c s="900"/>
      <c s="900"/>
      <c s="846" t="str">
        <f>IF(TEMPLATE_SPHERE="HEAT",T12,U12)</f>
        <v>Количество исполненных заявлений</v>
      </c>
      <c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5"/>
      <c s="845"/>
      <c s="845"/>
      <c s="845"/>
      <c s="845"/>
      <c s="845" t="s">
        <v>2027</v>
      </c>
      <c s="845" t="s">
        <v>2028</v>
      </c>
      <c s="845"/>
      <c s="845"/>
      <c s="845"/>
      <c s="1002"/>
      <c s="848" t="s">
        <v>2029</v>
      </c>
      <c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8"/>
      <c s="848"/>
      <c s="848"/>
    </row>
    <row r="13" spans="1:30" ht="72" customHeight="1">
      <c r="A13" s="2595"/>
      <c s="901">
        <v>3</v>
      </c>
      <c s="2602"/>
      <c s="2602"/>
      <c s="2602"/>
      <c s="2602"/>
      <c s="2602"/>
      <c s="2594" t="s">
        <v>2030</v>
      </c>
      <c s="900"/>
      <c s="900"/>
      <c s="900"/>
      <c s="900"/>
      <c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5"/>
      <c s="846"/>
      <c s="846"/>
      <c s="846"/>
      <c s="845"/>
      <c s="845" t="s">
        <v>2031</v>
      </c>
      <c s="846" t="s">
        <v>2032</v>
      </c>
      <c s="846"/>
      <c s="846"/>
      <c s="845"/>
      <c s="1002"/>
      <c s="848" t="s">
        <v>2033</v>
      </c>
      <c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8"/>
      <c s="848"/>
      <c s="848"/>
    </row>
    <row r="14" spans="1:30" ht="45" customHeight="1">
      <c r="A14" s="2595"/>
      <c s="901">
        <v>4</v>
      </c>
      <c s="2602"/>
      <c s="2602"/>
      <c s="2602"/>
      <c s="2602"/>
      <c s="2602"/>
      <c s="2594"/>
      <c s="903"/>
      <c s="903"/>
      <c s="903"/>
      <c s="903"/>
      <c s="849" t="str">
        <f>IF(TEMPLATE_SPHERE="HEAT",T14,U14)</f>
        <v>Причины отказа в заключении договора о подключении (технологическом присоединении) к централизованной системе водоотведения</v>
      </c>
      <c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5"/>
      <c s="846"/>
      <c s="846"/>
      <c s="846"/>
      <c s="845"/>
      <c s="845" t="s">
        <v>2034</v>
      </c>
      <c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846"/>
      <c s="846"/>
      <c s="845"/>
      <c s="1002"/>
      <c s="848" t="s">
        <v>2035</v>
      </c>
      <c s="851" t="s">
        <v>2035</v>
      </c>
      <c s="848"/>
      <c s="848"/>
      <c s="848"/>
    </row>
    <row r="15" spans="1:30" ht="108" customHeight="1">
      <c r="A15" s="2595"/>
      <c s="901">
        <v>5</v>
      </c>
      <c s="2602"/>
      <c s="2602"/>
      <c s="2602"/>
      <c s="2602"/>
      <c s="2602"/>
      <c s="2596" t="s">
        <v>2036</v>
      </c>
      <c s="902"/>
      <c s="902"/>
      <c s="902"/>
      <c s="902"/>
      <c s="85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50"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5"/>
      <c s="846"/>
      <c s="846"/>
      <c s="846"/>
      <c s="845"/>
      <c s="845" t="s">
        <v>2037</v>
      </c>
      <c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6"/>
      <c s="846"/>
      <c s="845"/>
      <c s="1002"/>
      <c s="848" t="s">
        <v>2038</v>
      </c>
      <c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8"/>
      <c s="848"/>
      <c s="848"/>
    </row>
    <row r="16" spans="1:30" ht="108" customHeight="1">
      <c r="A16" s="901"/>
      <c s="901">
        <v>6</v>
      </c>
      <c s="2603"/>
      <c s="2603"/>
      <c s="2603"/>
      <c s="2603"/>
      <c s="2603"/>
      <c s="2597"/>
      <c s="964"/>
      <c s="964"/>
      <c s="964"/>
      <c s="964"/>
      <c s="894"/>
      <c s="850"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5"/>
      <c s="846"/>
      <c s="846"/>
      <c s="846"/>
      <c s="845"/>
      <c s="845"/>
      <c s="846"/>
      <c s="846"/>
      <c s="846"/>
      <c s="845"/>
      <c s="1002"/>
      <c s="848" t="s">
        <v>2038</v>
      </c>
      <c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8"/>
      <c s="848"/>
      <c s="848"/>
    </row>
    <row r="17" spans="1:30" ht="9" customHeight="1">
      <c r="A17" s="901"/>
      <c s="901"/>
      <c s="901">
        <v>22</v>
      </c>
      <c s="901">
        <v>21</v>
      </c>
      <c s="901">
        <v>42</v>
      </c>
      <c s="901">
        <v>63</v>
      </c>
      <c s="901"/>
      <c s="901"/>
      <c s="901"/>
      <c s="901"/>
      <c s="901"/>
      <c s="901"/>
      <c s="901"/>
      <c s="901"/>
      <c s="901"/>
      <c s="901"/>
      <c s="901"/>
      <c s="901"/>
      <c s="901"/>
      <c s="901"/>
      <c s="901"/>
      <c s="901"/>
      <c s="901"/>
      <c s="901"/>
      <c s="901"/>
      <c s="901"/>
      <c s="901"/>
      <c s="901"/>
      <c s="901"/>
      <c s="901"/>
    </row>
    <row r="18" spans="1:30" ht="27" customHeight="1">
      <c r="A18" s="847" t="s">
        <v>1654</v>
      </c>
      <c s="901">
        <v>1</v>
      </c>
      <c s="845" t="s">
        <v>2022</v>
      </c>
      <c s="969" t="s">
        <v>2022</v>
      </c>
      <c s="845" t="s">
        <v>2022</v>
      </c>
      <c s="845" t="s">
        <v>2022</v>
      </c>
      <c s="845"/>
      <c s="1004"/>
      <c s="1007">
        <f>INDEX(TEMPLATE_NUMBER_POINT_FHD,B18,MATCH(TEMPLATE_SPHERE,TEMPLATE_SPHERE_LIST_FOR_NOTE,0))</f>
        <v>1</v>
      </c>
      <c s="1007" t="str">
        <f>INDEX(TEMPLATE_DATA_POINT_FHD,B18,MATCH(TEMPLATE_SPHERE,TEMPLATE_SPHERE_LIST_FOR_NOTE,0))</f>
        <v>Выручка от регулируемых видов деятельности в сфере водоотведения</v>
      </c>
      <c s="1007" t="str">
        <f>INDEX(TEMPLATE_NOTE_POINT_FHD,B18,MATCH(TEMPLATE_SPHERE,TEMPLATE_SPHERE_LIST_FOR_NOTE,0))</f>
        <v>Указывается выручка с распределением по видам деятельности.</v>
      </c>
      <c s="846">
        <f>IF(I18=0,"",I18)</f>
        <v>1</v>
      </c>
      <c s="846" t="str">
        <f>IF(J18=0,"",J18)</f>
        <v>Выручка от регулируемых видов деятельности в сфере водоотведения</v>
      </c>
      <c s="846" t="str">
        <f>IF(K18=0,"",K18)</f>
        <v>Указывается выручка с распределением по видам деятельности.</v>
      </c>
      <c s="959">
        <v>1</v>
      </c>
      <c s="959">
        <v>1</v>
      </c>
      <c s="959">
        <v>1</v>
      </c>
      <c s="959">
        <v>1</v>
      </c>
      <c s="959"/>
      <c s="966" t="s">
        <v>2039</v>
      </c>
      <c s="848" t="s">
        <v>2040</v>
      </c>
      <c s="848" t="s">
        <v>2041</v>
      </c>
      <c s="848" t="s">
        <v>2042</v>
      </c>
      <c s="845"/>
      <c s="1002"/>
      <c s="848" t="s">
        <v>2043</v>
      </c>
      <c s="851" t="s">
        <v>2044</v>
      </c>
      <c s="851" t="s">
        <v>2044</v>
      </c>
      <c s="851" t="s">
        <v>2044</v>
      </c>
      <c s="848"/>
    </row>
    <row r="19" spans="1:30" ht="36" customHeight="1">
      <c r="A19" s="847"/>
      <c s="901">
        <v>2</v>
      </c>
      <c s="845" t="s">
        <v>2026</v>
      </c>
      <c s="969" t="s">
        <v>2026</v>
      </c>
      <c s="845" t="s">
        <v>2026</v>
      </c>
      <c s="845" t="s">
        <v>2026</v>
      </c>
      <c s="845"/>
      <c s="1004"/>
      <c s="1007">
        <f>INDEX(TEMPLATE_NUMBER_POINT_FHD,B19,MATCH(TEMPLATE_SPHERE,TEMPLATE_SPHERE_LIST_FOR_NOTE,0))</f>
        <v>2</v>
      </c>
      <c s="1007"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s="1007" t="str">
        <f>INDEX(TEMPLATE_NOTE_POINT_FHD,B19,MATCH(TEMPLATE_SPHERE,TEMPLATE_SPHERE_LIST_FOR_NOTE,0))</f>
        <v>Указывается суммарная себестоимость производимых товаров.</v>
      </c>
      <c s="846">
        <f>IF(I19=0,"",I19)</f>
        <v>2</v>
      </c>
      <c s="846" t="str">
        <f>IF(J19=0,"",J19)</f>
        <v>Себестоимость производимых товаров (оказываемых услуг) по регулируемым видам деятельности в сфере водоотведения, включая:</v>
      </c>
      <c s="846" t="str">
        <f>IF(K19=0,"",K19)</f>
        <v>Указывается суммарная себестоимость производимых товаров.</v>
      </c>
      <c s="959">
        <v>2</v>
      </c>
      <c s="959">
        <v>2</v>
      </c>
      <c s="959">
        <v>2</v>
      </c>
      <c s="959">
        <v>2</v>
      </c>
      <c s="959"/>
      <c s="966" t="s">
        <v>2045</v>
      </c>
      <c s="848" t="s">
        <v>2046</v>
      </c>
      <c s="848" t="s">
        <v>2047</v>
      </c>
      <c s="848" t="s">
        <v>2048</v>
      </c>
      <c s="845"/>
      <c s="1002"/>
      <c s="848" t="s">
        <v>2049</v>
      </c>
      <c s="851" t="s">
        <v>2049</v>
      </c>
      <c s="851" t="s">
        <v>2049</v>
      </c>
      <c s="851" t="s">
        <v>2049</v>
      </c>
      <c s="848"/>
    </row>
    <row r="20" spans="1:30" ht="27" customHeight="1">
      <c r="A20" s="847"/>
      <c s="901">
        <v>3</v>
      </c>
      <c s="845">
        <v>1</v>
      </c>
      <c s="969"/>
      <c s="845"/>
      <c s="845"/>
      <c s="845"/>
      <c s="1004"/>
      <c s="1007" t="str">
        <f>INDEX(TEMPLATE_NUMBER_POINT_FHD,B20,MATCH(TEMPLATE_SPHERE,TEMPLATE_SPHERE_LIST_FOR_NOTE,0))</f>
        <v>2.1</v>
      </c>
      <c s="1007" t="str">
        <f>INDEX(TEMPLATE_DATA_POINT_FHD,B20,MATCH(TEMPLATE_SPHERE,TEMPLATE_SPHERE_LIST_FOR_NOTE,0))</f>
        <v>Расходы на оплату услуг по приему, транспортировке и очистке сточных вод другими организациями</v>
      </c>
      <c s="1007">
        <f>INDEX(TEMPLATE_NOTE_POINT_FHD,B20,MATCH(TEMPLATE_SPHERE,TEMPLATE_SPHERE_LIST_FOR_NOTE,0))</f>
        <v>0</v>
      </c>
      <c s="846" t="str">
        <f>IF(I20=0,"",I20)</f>
        <v>2.1</v>
      </c>
      <c s="846" t="str">
        <f>IF(J20=0,"",J20)</f>
        <v>Расходы на оплату услуг по приему, транспортировке и очистке сточных вод другими организациями</v>
      </c>
      <c s="846" t="str">
        <f>IF(K20=0,"",K20)</f>
        <v/>
      </c>
      <c s="959" t="s">
        <v>709</v>
      </c>
      <c s="959" t="s">
        <v>709</v>
      </c>
      <c s="959" t="s">
        <v>709</v>
      </c>
      <c s="959" t="s">
        <v>709</v>
      </c>
      <c s="959"/>
      <c s="966" t="s">
        <v>2050</v>
      </c>
      <c s="848" t="s">
        <v>2051</v>
      </c>
      <c s="848" t="s">
        <v>2052</v>
      </c>
      <c s="848" t="s">
        <v>2053</v>
      </c>
      <c s="845"/>
      <c s="1002"/>
      <c s="848"/>
      <c s="851"/>
      <c s="848"/>
      <c s="848"/>
      <c s="848"/>
    </row>
    <row r="21" spans="1:30" ht="36" customHeight="1">
      <c r="A21" s="847"/>
      <c s="901">
        <v>4</v>
      </c>
      <c s="845">
        <v>2</v>
      </c>
      <c s="969"/>
      <c s="845"/>
      <c s="845"/>
      <c s="845"/>
      <c s="1004"/>
      <c s="1007">
        <f>INDEX(TEMPLATE_NUMBER_POINT_FHD,B21,MATCH(TEMPLATE_SPHERE,TEMPLATE_SPHERE_LIST_FOR_NOTE,0))</f>
        <v>0</v>
      </c>
      <c s="1007">
        <f>INDEX(TEMPLATE_DATA_POINT_FHD,B21,MATCH(TEMPLATE_SPHERE,TEMPLATE_SPHERE_LIST_FOR_NOTE,0))</f>
        <v>0</v>
      </c>
      <c s="1007">
        <f>INDEX(TEMPLATE_NOTE_POINT_FHD,B21,MATCH(TEMPLATE_SPHERE,TEMPLATE_SPHERE_LIST_FOR_NOTE,0))</f>
        <v>0</v>
      </c>
      <c s="846" t="str">
        <f>IF(I21=0,"",I21)</f>
        <v/>
      </c>
      <c s="846" t="str">
        <f>IF(J21=0,"",J21)</f>
        <v/>
      </c>
      <c s="846" t="str">
        <f>IF(K21=0,"",K21)</f>
        <v/>
      </c>
      <c s="959" t="s">
        <v>307</v>
      </c>
      <c s="959"/>
      <c s="959"/>
      <c s="959"/>
      <c s="959"/>
      <c s="966" t="s">
        <v>2054</v>
      </c>
      <c s="848"/>
      <c s="848"/>
      <c s="848"/>
      <c s="845"/>
      <c s="1002"/>
      <c s="848" t="s">
        <v>2055</v>
      </c>
      <c s="851"/>
      <c s="848"/>
      <c s="848"/>
      <c s="848"/>
    </row>
    <row r="22" spans="1:30" ht="36" customHeight="1">
      <c r="A22" s="847"/>
      <c s="901">
        <v>5</v>
      </c>
      <c s="845">
        <v>3</v>
      </c>
      <c s="969"/>
      <c s="845"/>
      <c s="845"/>
      <c s="893"/>
      <c s="960"/>
      <c s="1007">
        <f>INDEX(TEMPLATE_NUMBER_POINT_FHD,B22,MATCH(TEMPLATE_SPHERE,TEMPLATE_SPHERE_LIST_FOR_NOTE,0))</f>
        <v>0</v>
      </c>
      <c s="1007">
        <f>INDEX(TEMPLATE_DATA_POINT_FHD,B22,MATCH(TEMPLATE_SPHERE,TEMPLATE_SPHERE_LIST_FOR_NOTE,0))</f>
        <v>0</v>
      </c>
      <c s="1007">
        <f>INDEX(TEMPLATE_NOTE_POINT_FHD,B22,MATCH(TEMPLATE_SPHERE,TEMPLATE_SPHERE_LIST_FOR_NOTE,0))</f>
        <v>0</v>
      </c>
      <c s="846" t="str">
        <f>IF(I22=0,"",I22)</f>
        <v/>
      </c>
      <c s="846" t="str">
        <f>IF(J22=0,"",J22)</f>
        <v/>
      </c>
      <c s="846" t="str">
        <f>IF(K22=0,"",K22)</f>
        <v/>
      </c>
      <c s="959"/>
      <c s="959"/>
      <c s="959" t="s">
        <v>307</v>
      </c>
      <c s="959"/>
      <c s="959"/>
      <c s="966"/>
      <c s="848"/>
      <c s="848" t="s">
        <v>2056</v>
      </c>
      <c s="848"/>
      <c s="845"/>
      <c s="1002"/>
      <c s="848"/>
      <c s="851"/>
      <c s="848"/>
      <c s="848"/>
      <c s="848"/>
    </row>
    <row r="23" spans="1:30" ht="27" customHeight="1">
      <c r="A23" s="847"/>
      <c s="901">
        <v>6</v>
      </c>
      <c s="845">
        <v>4</v>
      </c>
      <c s="969"/>
      <c s="845"/>
      <c s="845"/>
      <c s="893"/>
      <c s="960"/>
      <c s="1007">
        <f>INDEX(TEMPLATE_NUMBER_POINT_FHD,B23,MATCH(TEMPLATE_SPHERE,TEMPLATE_SPHERE_LIST_FOR_NOTE,0))</f>
        <v>0</v>
      </c>
      <c s="1007">
        <f>INDEX(TEMPLATE_DATA_POINT_FHD,B23,MATCH(TEMPLATE_SPHERE,TEMPLATE_SPHERE_LIST_FOR_NOTE,0))</f>
        <v>0</v>
      </c>
      <c s="1007">
        <f>INDEX(TEMPLATE_NOTE_POINT_FHD,B23,MATCH(TEMPLATE_SPHERE,TEMPLATE_SPHERE_LIST_FOR_NOTE,0))</f>
        <v>0</v>
      </c>
      <c s="846" t="str">
        <f>IF(I23=0,"",I23)</f>
        <v/>
      </c>
      <c s="846" t="str">
        <f>IF(J23=0,"",J23)</f>
        <v/>
      </c>
      <c s="846" t="str">
        <f>IF(K23=0,"",K23)</f>
        <v/>
      </c>
      <c s="959"/>
      <c s="959"/>
      <c s="959" t="s">
        <v>310</v>
      </c>
      <c s="959"/>
      <c s="959"/>
      <c s="966"/>
      <c s="848"/>
      <c s="848" t="s">
        <v>2057</v>
      </c>
      <c s="848"/>
      <c s="845"/>
      <c s="1002"/>
      <c s="848"/>
      <c s="851"/>
      <c s="848"/>
      <c s="848"/>
      <c s="848"/>
    </row>
    <row r="24" spans="1:30" ht="36" customHeight="1">
      <c r="A24" s="847"/>
      <c s="901">
        <v>7</v>
      </c>
      <c s="845">
        <v>5</v>
      </c>
      <c s="969"/>
      <c s="845"/>
      <c s="845"/>
      <c s="893"/>
      <c s="960"/>
      <c s="1007">
        <f>INDEX(TEMPLATE_NUMBER_POINT_FHD,B24,MATCH(TEMPLATE_SPHERE,TEMPLATE_SPHERE_LIST_FOR_NOTE,0))</f>
        <v>0</v>
      </c>
      <c s="1007">
        <f>INDEX(TEMPLATE_DATA_POINT_FHD,B24,MATCH(TEMPLATE_SPHERE,TEMPLATE_SPHERE_LIST_FOR_NOTE,0))</f>
        <v>0</v>
      </c>
      <c s="1007">
        <f>INDEX(TEMPLATE_NOTE_POINT_FHD,B24,MATCH(TEMPLATE_SPHERE,TEMPLATE_SPHERE_LIST_FOR_NOTE,0))</f>
        <v>0</v>
      </c>
      <c s="846" t="str">
        <f>IF(I24=0,"",I24)</f>
        <v/>
      </c>
      <c s="846" t="str">
        <f>IF(J24=0,"",J24)</f>
        <v/>
      </c>
      <c s="846" t="str">
        <f>IF(K24=0,"",K24)</f>
        <v/>
      </c>
      <c s="959"/>
      <c s="959"/>
      <c s="959" t="s">
        <v>729</v>
      </c>
      <c s="959"/>
      <c s="959"/>
      <c s="966"/>
      <c s="848"/>
      <c s="848" t="s">
        <v>2058</v>
      </c>
      <c s="848"/>
      <c s="845"/>
      <c s="1002"/>
      <c s="848"/>
      <c s="851"/>
      <c s="848"/>
      <c s="848"/>
      <c s="848"/>
    </row>
    <row r="25" spans="1:30" ht="36" customHeight="1">
      <c r="A25" s="847"/>
      <c s="901">
        <v>8</v>
      </c>
      <c s="845">
        <v>6</v>
      </c>
      <c s="969"/>
      <c s="845"/>
      <c s="845"/>
      <c s="893"/>
      <c s="960"/>
      <c s="1007" t="str">
        <f>INDEX(TEMPLATE_NUMBER_POINT_FHD,B25,MATCH(TEMPLATE_SPHERE,TEMPLATE_SPHERE_LIST_FOR_NOTE,0))</f>
        <v>2.2</v>
      </c>
      <c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7">
        <f>INDEX(TEMPLATE_NOTE_POINT_FHD,B25,MATCH(TEMPLATE_SPHERE,TEMPLATE_SPHERE_LIST_FOR_NOTE,0))</f>
        <v>0</v>
      </c>
      <c s="846" t="str">
        <f>IF(I25=0,"",I25)</f>
        <v>2.2</v>
      </c>
      <c s="846" t="str">
        <f>IF(J25=0,"",J25)</f>
        <v>Расходы на приобретаемую электрическую энергию (мощность), используемую в технологическом процессе</v>
      </c>
      <c s="846" t="str">
        <f>IF(K25=0,"",K25)</f>
        <v/>
      </c>
      <c s="959" t="s">
        <v>310</v>
      </c>
      <c s="959" t="s">
        <v>307</v>
      </c>
      <c s="959" t="s">
        <v>736</v>
      </c>
      <c s="959" t="s">
        <v>307</v>
      </c>
      <c s="959"/>
      <c s="966" t="s">
        <v>2059</v>
      </c>
      <c s="848" t="s">
        <v>2059</v>
      </c>
      <c s="848" t="s">
        <v>2059</v>
      </c>
      <c s="848" t="s">
        <v>2059</v>
      </c>
      <c s="845"/>
      <c s="1002"/>
      <c s="848"/>
      <c s="851"/>
      <c s="848"/>
      <c s="848"/>
      <c s="848"/>
    </row>
    <row r="26" spans="1:30" ht="18" customHeight="1">
      <c r="A26" s="847"/>
      <c s="901">
        <v>9</v>
      </c>
      <c s="845" t="s">
        <v>652</v>
      </c>
      <c s="969"/>
      <c s="845"/>
      <c s="845"/>
      <c s="893"/>
      <c s="960"/>
      <c s="1007" t="str">
        <f>INDEX(TEMPLATE_NUMBER_POINT_FHD,B26,MATCH(TEMPLATE_SPHERE,TEMPLATE_SPHERE_LIST_FOR_NOTE,0))</f>
        <v>2.2.1</v>
      </c>
      <c s="1007" t="str">
        <f>INDEX(TEMPLATE_DATA_POINT_FHD,B26,MATCH(TEMPLATE_SPHERE,TEMPLATE_SPHERE_LIST_FOR_NOTE,0))</f>
        <v>Средневзвешенная стоимость 1 кВт.ч (с учетом мощности)</v>
      </c>
      <c s="1007">
        <f>INDEX(TEMPLATE_NOTE_POINT_FHD,B26,MATCH(TEMPLATE_SPHERE,TEMPLATE_SPHERE_LIST_FOR_NOTE,0))</f>
        <v>0</v>
      </c>
      <c s="846" t="str">
        <f>IF(I26=0,"",I26)</f>
        <v>2.2.1</v>
      </c>
      <c s="846" t="str">
        <f>IF(J26=0,"",J26)</f>
        <v>Средневзвешенная стоимость 1 кВт.ч (с учетом мощности)</v>
      </c>
      <c s="846" t="str">
        <f>IF(K26=0,"",K26)</f>
        <v/>
      </c>
      <c s="959" t="s">
        <v>725</v>
      </c>
      <c s="959" t="s">
        <v>719</v>
      </c>
      <c s="959" t="s">
        <v>2060</v>
      </c>
      <c s="959" t="s">
        <v>719</v>
      </c>
      <c s="959"/>
      <c s="966" t="str">
        <f>"Средневзвешенная стоимость 1 кВт.ч"&amp;IF(TITLE_TYPE_ORG="Регулируемая организация"," (с учетом мощности)","")</f>
        <v>Средневзвешенная стоимость 1 кВт.ч</v>
      </c>
      <c s="966" t="s">
        <v>2061</v>
      </c>
      <c s="966" t="s">
        <v>2061</v>
      </c>
      <c s="966" t="s">
        <v>2061</v>
      </c>
      <c s="845"/>
      <c s="1002"/>
      <c s="848"/>
      <c s="851"/>
      <c s="848"/>
      <c s="848"/>
      <c s="848"/>
    </row>
    <row r="27" spans="1:30" ht="18" customHeight="1">
      <c r="A27" s="847"/>
      <c s="901">
        <v>10</v>
      </c>
      <c s="845" t="s">
        <v>656</v>
      </c>
      <c s="969"/>
      <c s="845"/>
      <c s="845"/>
      <c s="893"/>
      <c s="960"/>
      <c s="1007" t="str">
        <f>INDEX(TEMPLATE_NUMBER_POINT_FHD,B27,MATCH(TEMPLATE_SPHERE,TEMPLATE_SPHERE_LIST_FOR_NOTE,0))</f>
        <v>2.2.2</v>
      </c>
      <c s="1007" t="str">
        <f>INDEX(TEMPLATE_DATA_POINT_FHD,B27,MATCH(TEMPLATE_SPHERE,TEMPLATE_SPHERE_LIST_FOR_NOTE,0))</f>
        <v>Объём приобретения электрической энергии</v>
      </c>
      <c s="1007">
        <f>INDEX(TEMPLATE_NOTE_POINT_FHD,B27,MATCH(TEMPLATE_SPHERE,TEMPLATE_SPHERE_LIST_FOR_NOTE,0))</f>
        <v>0</v>
      </c>
      <c s="846" t="str">
        <f>IF(I27=0,"",I27)</f>
        <v>2.2.2</v>
      </c>
      <c s="846" t="str">
        <f>IF(J27=0,"",J27)</f>
        <v>Объём приобретения электрической энергии</v>
      </c>
      <c s="846" t="str">
        <f>IF(K27=0,"",K27)</f>
        <v/>
      </c>
      <c s="959" t="s">
        <v>727</v>
      </c>
      <c s="959" t="s">
        <v>721</v>
      </c>
      <c s="959" t="s">
        <v>2062</v>
      </c>
      <c s="959" t="s">
        <v>721</v>
      </c>
      <c s="959"/>
      <c s="966" t="s">
        <v>2063</v>
      </c>
      <c s="966" t="s">
        <v>2063</v>
      </c>
      <c s="966" t="s">
        <v>2063</v>
      </c>
      <c s="966" t="s">
        <v>2063</v>
      </c>
      <c s="845"/>
      <c s="1002"/>
      <c s="848"/>
      <c s="851"/>
      <c s="848"/>
      <c s="848"/>
      <c s="848"/>
    </row>
    <row r="28" spans="1:30" ht="27" customHeight="1">
      <c r="A28" s="847"/>
      <c s="901">
        <v>11</v>
      </c>
      <c s="845">
        <v>7</v>
      </c>
      <c s="969"/>
      <c s="845"/>
      <c s="845"/>
      <c s="893"/>
      <c s="960"/>
      <c s="1007">
        <f>INDEX(TEMPLATE_NUMBER_POINT_FHD,B28,MATCH(TEMPLATE_SPHERE,TEMPLATE_SPHERE_LIST_FOR_NOTE,0))</f>
        <v>0</v>
      </c>
      <c s="1007">
        <f>INDEX(TEMPLATE_DATA_POINT_FHD,B28,MATCH(TEMPLATE_SPHERE,TEMPLATE_SPHERE_LIST_FOR_NOTE,0))</f>
        <v>0</v>
      </c>
      <c s="1007">
        <f>INDEX(TEMPLATE_NOTE_POINT_FHD,B28,MATCH(TEMPLATE_SPHERE,TEMPLATE_SPHERE_LIST_FOR_NOTE,0))</f>
        <v>0</v>
      </c>
      <c s="846" t="str">
        <f>IF(I28=0,"",I28)</f>
        <v/>
      </c>
      <c s="846" t="str">
        <f>IF(J28=0,"",J28)</f>
        <v/>
      </c>
      <c s="846" t="str">
        <f>IF(K28=0,"",K28)</f>
        <v/>
      </c>
      <c s="959" t="s">
        <v>729</v>
      </c>
      <c s="959"/>
      <c s="959"/>
      <c s="959"/>
      <c s="959"/>
      <c s="966" t="s">
        <v>2064</v>
      </c>
      <c s="848"/>
      <c s="848"/>
      <c s="848"/>
      <c s="845"/>
      <c s="1002"/>
      <c s="848"/>
      <c s="851"/>
      <c s="848"/>
      <c s="848"/>
      <c s="848"/>
    </row>
    <row r="29" spans="1:30" ht="27" customHeight="1">
      <c r="A29" s="847"/>
      <c s="901">
        <v>12</v>
      </c>
      <c s="845">
        <v>8</v>
      </c>
      <c s="969"/>
      <c s="845"/>
      <c s="845"/>
      <c s="893"/>
      <c s="960"/>
      <c s="1007" t="str">
        <f>INDEX(TEMPLATE_NUMBER_POINT_FHD,B29,MATCH(TEMPLATE_SPHERE,TEMPLATE_SPHERE_LIST_FOR_NOTE,0))</f>
        <v>2.3</v>
      </c>
      <c s="1007" t="str">
        <f>INDEX(TEMPLATE_DATA_POINT_FHD,B29,MATCH(TEMPLATE_SPHERE,TEMPLATE_SPHERE_LIST_FOR_NOTE,0))</f>
        <v>Расходы на химические реагенты, используемые в технологическом процессе</v>
      </c>
      <c s="1007">
        <f>INDEX(TEMPLATE_NOTE_POINT_FHD,B29,MATCH(TEMPLATE_SPHERE,TEMPLATE_SPHERE_LIST_FOR_NOTE,0))</f>
        <v>0</v>
      </c>
      <c s="846" t="str">
        <f>IF(I29=0,"",I29)</f>
        <v>2.3</v>
      </c>
      <c s="846" t="str">
        <f>IF(J29=0,"",J29)</f>
        <v>Расходы на химические реагенты, используемые в технологическом процессе</v>
      </c>
      <c s="846" t="str">
        <f>IF(K29=0,"",K29)</f>
        <v/>
      </c>
      <c s="959" t="s">
        <v>736</v>
      </c>
      <c s="959" t="s">
        <v>310</v>
      </c>
      <c s="959"/>
      <c s="959" t="s">
        <v>310</v>
      </c>
      <c s="959"/>
      <c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8" t="s">
        <v>2065</v>
      </c>
      <c s="848"/>
      <c s="848" t="s">
        <v>2065</v>
      </c>
      <c s="845"/>
      <c s="1002"/>
      <c s="848"/>
      <c s="851"/>
      <c s="848"/>
      <c s="848"/>
      <c s="848"/>
    </row>
    <row r="30" spans="1:30" ht="54" customHeight="1">
      <c r="A30" s="847"/>
      <c s="901">
        <v>13</v>
      </c>
      <c s="845">
        <v>9</v>
      </c>
      <c s="969"/>
      <c s="845"/>
      <c s="845"/>
      <c s="893"/>
      <c s="960"/>
      <c s="1007" t="str">
        <f>INDEX(TEMPLATE_NUMBER_POINT_FHD,B30,MATCH(TEMPLATE_SPHERE,TEMPLATE_SPHERE_LIST_FOR_NOTE,0))</f>
        <v>2.4</v>
      </c>
      <c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6" t="str">
        <f>IF(I30=0,"",I30)</f>
        <v>2.4</v>
      </c>
      <c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6" t="str">
        <f>IF(K30=0,"",K30)</f>
        <v>Указывается общая сумма расходов на оплату труда и отчислений на социальные нужды основного производственного персонала.</v>
      </c>
      <c s="959" t="s">
        <v>738</v>
      </c>
      <c s="959" t="s">
        <v>729</v>
      </c>
      <c s="959" t="s">
        <v>738</v>
      </c>
      <c s="959" t="s">
        <v>729</v>
      </c>
      <c s="959"/>
      <c s="966" t="s">
        <v>2066</v>
      </c>
      <c s="848" t="s">
        <v>2066</v>
      </c>
      <c s="848" t="s">
        <v>2066</v>
      </c>
      <c s="848" t="s">
        <v>2066</v>
      </c>
      <c s="845"/>
      <c s="1002"/>
      <c s="848"/>
      <c s="851" t="s">
        <v>2067</v>
      </c>
      <c s="851" t="s">
        <v>2067</v>
      </c>
      <c s="851" t="s">
        <v>2067</v>
      </c>
      <c s="848"/>
    </row>
    <row r="31" spans="1:30" ht="18" customHeight="1">
      <c r="A31" s="847"/>
      <c s="901">
        <v>14</v>
      </c>
      <c s="845" t="s">
        <v>2068</v>
      </c>
      <c s="969"/>
      <c s="845"/>
      <c s="845"/>
      <c s="893"/>
      <c s="960"/>
      <c s="1007" t="str">
        <f>INDEX(TEMPLATE_NUMBER_POINT_FHD,B31,MATCH(TEMPLATE_SPHERE,TEMPLATE_SPHERE_LIST_FOR_NOTE,0))</f>
        <v>2.4.1</v>
      </c>
      <c s="1007" t="str">
        <f>INDEX(TEMPLATE_DATA_POINT_FHD,B31,MATCH(TEMPLATE_SPHERE,TEMPLATE_SPHERE_LIST_FOR_NOTE,0))</f>
        <v>Расходы на оплату труда основного производственного персонала</v>
      </c>
      <c s="1007">
        <f>INDEX(TEMPLATE_NOTE_POINT_FHD,B31,MATCH(TEMPLATE_SPHERE,TEMPLATE_SPHERE_LIST_FOR_NOTE,0))</f>
        <v>0</v>
      </c>
      <c s="846" t="str">
        <f>IF(I31=0,"",I31)</f>
        <v>2.4.1</v>
      </c>
      <c s="846" t="str">
        <f>IF(J31=0,"",J31)</f>
        <v>Расходы на оплату труда основного производственного персонала</v>
      </c>
      <c s="846" t="str">
        <f>IF(K31=0,"",K31)</f>
        <v/>
      </c>
      <c s="959" t="s">
        <v>2069</v>
      </c>
      <c s="959" t="s">
        <v>732</v>
      </c>
      <c s="959" t="s">
        <v>2069</v>
      </c>
      <c s="959" t="s">
        <v>732</v>
      </c>
      <c s="959"/>
      <c s="967" t="s">
        <v>2070</v>
      </c>
      <c s="848" t="s">
        <v>2070</v>
      </c>
      <c s="848" t="s">
        <v>2070</v>
      </c>
      <c s="848" t="s">
        <v>2070</v>
      </c>
      <c s="845"/>
      <c s="1002"/>
      <c s="848"/>
      <c s="851"/>
      <c s="851"/>
      <c s="851"/>
      <c s="848"/>
    </row>
    <row r="32" spans="1:30" ht="36" customHeight="1">
      <c r="A32" s="847"/>
      <c s="901">
        <v>15</v>
      </c>
      <c s="845" t="s">
        <v>2071</v>
      </c>
      <c s="969"/>
      <c s="845"/>
      <c s="845"/>
      <c s="893"/>
      <c s="960"/>
      <c s="1007" t="str">
        <f>INDEX(TEMPLATE_NUMBER_POINT_FHD,B32,MATCH(TEMPLATE_SPHERE,TEMPLATE_SPHERE_LIST_FOR_NOTE,0))</f>
        <v>2.4.2</v>
      </c>
      <c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7">
        <f>INDEX(TEMPLATE_NOTE_POINT_FHD,B32,MATCH(TEMPLATE_SPHERE,TEMPLATE_SPHERE_LIST_FOR_NOTE,0))</f>
        <v>0</v>
      </c>
      <c s="846" t="str">
        <f>IF(I32=0,"",I32)</f>
        <v>2.4.2</v>
      </c>
      <c s="846" t="str">
        <f>IF(J32=0,"",J32)</f>
        <v>Страховые взносы на обязательное социальное страхование, выплачиваемые из фонда оплаты труда основного производственного персонала</v>
      </c>
      <c s="846" t="str">
        <f>IF(K32=0,"",K32)</f>
        <v/>
      </c>
      <c s="959" t="s">
        <v>2072</v>
      </c>
      <c s="959" t="s">
        <v>734</v>
      </c>
      <c s="959" t="s">
        <v>2072</v>
      </c>
      <c s="959" t="s">
        <v>734</v>
      </c>
      <c s="959"/>
      <c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8" t="s">
        <v>2073</v>
      </c>
      <c s="848" t="s">
        <v>2073</v>
      </c>
      <c s="848" t="s">
        <v>2073</v>
      </c>
      <c s="845"/>
      <c s="1002"/>
      <c s="848"/>
      <c s="851"/>
      <c s="851"/>
      <c s="851"/>
      <c s="848"/>
    </row>
    <row r="33" spans="1:30" ht="45" customHeight="1">
      <c r="A33" s="847"/>
      <c s="901">
        <v>16</v>
      </c>
      <c s="845">
        <v>10</v>
      </c>
      <c s="969"/>
      <c s="845"/>
      <c s="845"/>
      <c s="893"/>
      <c s="960"/>
      <c s="1007" t="str">
        <f>INDEX(TEMPLATE_NUMBER_POINT_FHD,B33,MATCH(TEMPLATE_SPHERE,TEMPLATE_SPHERE_LIST_FOR_NOTE,0))</f>
        <v>2.5</v>
      </c>
      <c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6" t="str">
        <f>IF(I33=0,"",I33)</f>
        <v>2.5</v>
      </c>
      <c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6" t="str">
        <f>IF(K33=0,"",K33)</f>
        <v>Указывается общая сумма расходов на оплату труда и отчислений на социальные нужды административно-управленческого персонала.</v>
      </c>
      <c s="959" t="s">
        <v>740</v>
      </c>
      <c s="959" t="s">
        <v>736</v>
      </c>
      <c s="959" t="s">
        <v>740</v>
      </c>
      <c s="959" t="s">
        <v>736</v>
      </c>
      <c s="959"/>
      <c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8" t="s">
        <v>2074</v>
      </c>
      <c s="848" t="s">
        <v>2074</v>
      </c>
      <c s="848" t="s">
        <v>2075</v>
      </c>
      <c s="845"/>
      <c s="1002"/>
      <c s="848"/>
      <c s="851" t="s">
        <v>2076</v>
      </c>
      <c s="851" t="s">
        <v>2076</v>
      </c>
      <c s="851" t="s">
        <v>2076</v>
      </c>
      <c s="848"/>
    </row>
    <row r="34" spans="1:30" ht="27" customHeight="1">
      <c r="A34" s="847"/>
      <c s="901">
        <v>17</v>
      </c>
      <c s="845" t="s">
        <v>2077</v>
      </c>
      <c s="969"/>
      <c s="845"/>
      <c s="845"/>
      <c s="893"/>
      <c s="960"/>
      <c s="1007" t="str">
        <f>INDEX(TEMPLATE_NUMBER_POINT_FHD,B34,MATCH(TEMPLATE_SPHERE,TEMPLATE_SPHERE_LIST_FOR_NOTE,0))</f>
        <v>2.5.1</v>
      </c>
      <c s="1007" t="str">
        <f>INDEX(TEMPLATE_DATA_POINT_FHD,B34,MATCH(TEMPLATE_SPHERE,TEMPLATE_SPHERE_LIST_FOR_NOTE,0))</f>
        <v>Расходы на оплату труда административно-управленческого персонала, в том числе:</v>
      </c>
      <c s="1007">
        <f>INDEX(TEMPLATE_NOTE_POINT_FHD,B34,MATCH(TEMPLATE_SPHERE,TEMPLATE_SPHERE_LIST_FOR_NOTE,0))</f>
        <v>0</v>
      </c>
      <c s="846" t="str">
        <f>IF(I34=0,"",I34)</f>
        <v>2.5.1</v>
      </c>
      <c s="846" t="str">
        <f>IF(J34=0,"",J34)</f>
        <v>Расходы на оплату труда административно-управленческого персонала, в том числе:</v>
      </c>
      <c s="846" t="str">
        <f>IF(K34=0,"",K34)</f>
        <v/>
      </c>
      <c s="959" t="s">
        <v>2078</v>
      </c>
      <c s="959" t="s">
        <v>2060</v>
      </c>
      <c s="959" t="s">
        <v>2078</v>
      </c>
      <c s="959" t="s">
        <v>2060</v>
      </c>
      <c s="959"/>
      <c s="968" t="s">
        <v>2079</v>
      </c>
      <c s="848" t="s">
        <v>2079</v>
      </c>
      <c s="848" t="s">
        <v>2079</v>
      </c>
      <c s="848" t="s">
        <v>2080</v>
      </c>
      <c s="845"/>
      <c s="1002"/>
      <c s="848"/>
      <c s="851"/>
      <c s="848"/>
      <c s="848"/>
      <c s="848"/>
    </row>
    <row r="35" spans="1:30" ht="45" customHeight="1">
      <c r="A35" s="847"/>
      <c s="901">
        <v>18</v>
      </c>
      <c s="845" t="s">
        <v>2081</v>
      </c>
      <c s="969"/>
      <c s="845"/>
      <c s="845"/>
      <c s="893"/>
      <c s="960"/>
      <c s="1007" t="str">
        <f>INDEX(TEMPLATE_NUMBER_POINT_FHD,B35,MATCH(TEMPLATE_SPHERE,TEMPLATE_SPHERE_LIST_FOR_NOTE,0))</f>
        <v>2.5.2</v>
      </c>
      <c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7">
        <f>INDEX(TEMPLATE_NOTE_POINT_FHD,B35,MATCH(TEMPLATE_SPHERE,TEMPLATE_SPHERE_LIST_FOR_NOTE,0))</f>
        <v>0</v>
      </c>
      <c s="846" t="str">
        <f>IF(I35=0,"",I35)</f>
        <v>2.5.2</v>
      </c>
      <c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6" t="str">
        <f>IF(K35=0,"",K35)</f>
        <v/>
      </c>
      <c s="959" t="s">
        <v>2082</v>
      </c>
      <c s="959" t="s">
        <v>2062</v>
      </c>
      <c s="959" t="s">
        <v>2082</v>
      </c>
      <c s="959" t="s">
        <v>2062</v>
      </c>
      <c s="959"/>
      <c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8" t="s">
        <v>2083</v>
      </c>
      <c s="848" t="s">
        <v>2083</v>
      </c>
      <c s="848" t="s">
        <v>2083</v>
      </c>
      <c s="845"/>
      <c s="1002"/>
      <c s="848"/>
      <c s="851"/>
      <c s="848"/>
      <c s="848"/>
      <c s="848"/>
    </row>
    <row r="36" spans="1:30" ht="18" customHeight="1">
      <c r="A36" s="847"/>
      <c s="901">
        <v>19</v>
      </c>
      <c s="845">
        <v>11</v>
      </c>
      <c s="969"/>
      <c s="845"/>
      <c s="845"/>
      <c s="893"/>
      <c s="960"/>
      <c s="1007" t="str">
        <f>INDEX(TEMPLATE_NUMBER_POINT_FHD,B36,MATCH(TEMPLATE_SPHERE,TEMPLATE_SPHERE_LIST_FOR_NOTE,0))</f>
        <v>2.6</v>
      </c>
      <c s="1007" t="str">
        <f>INDEX(TEMPLATE_DATA_POINT_FHD,B36,MATCH(TEMPLATE_SPHERE,TEMPLATE_SPHERE_LIST_FOR_NOTE,0))</f>
        <v>Расходы на амортизацию основных средств и нематериальных активов</v>
      </c>
      <c s="1007">
        <f>INDEX(TEMPLATE_NOTE_POINT_FHD,B36,MATCH(TEMPLATE_SPHERE,TEMPLATE_SPHERE_LIST_FOR_NOTE,0))</f>
        <v>0</v>
      </c>
      <c s="846" t="str">
        <f>IF(I36=0,"",I36)</f>
        <v>2.6</v>
      </c>
      <c s="846" t="str">
        <f>IF(J36=0,"",J36)</f>
        <v>Расходы на амортизацию основных средств и нематериальных активов</v>
      </c>
      <c s="846" t="str">
        <f>IF(K36=0,"",K36)</f>
        <v/>
      </c>
      <c s="959" t="s">
        <v>742</v>
      </c>
      <c s="959" t="s">
        <v>738</v>
      </c>
      <c s="959" t="s">
        <v>742</v>
      </c>
      <c s="959" t="s">
        <v>738</v>
      </c>
      <c s="959"/>
      <c s="966" t="s">
        <v>2084</v>
      </c>
      <c s="848" t="s">
        <v>2084</v>
      </c>
      <c s="848" t="s">
        <v>2084</v>
      </c>
      <c s="848" t="s">
        <v>2084</v>
      </c>
      <c s="845"/>
      <c s="1002"/>
      <c s="848"/>
      <c s="851"/>
      <c s="848"/>
      <c s="848"/>
      <c s="848"/>
    </row>
    <row r="37" spans="1:30" ht="18" customHeight="1">
      <c r="A37" s="847"/>
      <c s="901">
        <v>20</v>
      </c>
      <c s="845" t="s">
        <v>2085</v>
      </c>
      <c s="969"/>
      <c s="845"/>
      <c s="845"/>
      <c s="893"/>
      <c s="960"/>
      <c s="1007" t="str">
        <f>INDEX(TEMPLATE_NUMBER_POINT_FHD,B37,MATCH(TEMPLATE_SPHERE,TEMPLATE_SPHERE_LIST_FOR_NOTE,0))</f>
        <v>2.6.1</v>
      </c>
      <c s="1007" t="str">
        <f>INDEX(TEMPLATE_DATA_POINT_FHD,B37,MATCH(TEMPLATE_SPHERE,TEMPLATE_SPHERE_LIST_FOR_NOTE,0))</f>
        <v>Расходы на амортизацию основных средств</v>
      </c>
      <c s="1007">
        <f>INDEX(TEMPLATE_NOTE_POINT_FHD,B37,MATCH(TEMPLATE_SPHERE,TEMPLATE_SPHERE_LIST_FOR_NOTE,0))</f>
        <v>0</v>
      </c>
      <c s="846" t="str">
        <f>IF(I37=0,"",I37)</f>
        <v>2.6.1</v>
      </c>
      <c s="846" t="str">
        <f>IF(J37=0,"",J37)</f>
        <v>Расходы на амортизацию основных средств</v>
      </c>
      <c s="846" t="str">
        <f>IF(K37=0,"",K37)</f>
        <v/>
      </c>
      <c s="959" t="s">
        <v>2086</v>
      </c>
      <c s="959" t="s">
        <v>2069</v>
      </c>
      <c s="959" t="s">
        <v>2086</v>
      </c>
      <c s="959" t="s">
        <v>2069</v>
      </c>
      <c s="959"/>
      <c s="966" t="s">
        <v>2087</v>
      </c>
      <c s="848" t="s">
        <v>2087</v>
      </c>
      <c s="848" t="s">
        <v>2087</v>
      </c>
      <c s="848" t="s">
        <v>2087</v>
      </c>
      <c s="845"/>
      <c s="1002"/>
      <c s="848"/>
      <c s="851"/>
      <c s="848"/>
      <c s="848"/>
      <c s="848"/>
    </row>
    <row r="38" spans="1:30" ht="18" customHeight="1">
      <c r="A38" s="847"/>
      <c s="901">
        <v>21</v>
      </c>
      <c s="845" t="s">
        <v>2088</v>
      </c>
      <c s="969"/>
      <c s="845"/>
      <c s="845"/>
      <c s="893"/>
      <c s="960"/>
      <c s="1007" t="str">
        <f>INDEX(TEMPLATE_NUMBER_POINT_FHD,B38,MATCH(TEMPLATE_SPHERE,TEMPLATE_SPHERE_LIST_FOR_NOTE,0))</f>
        <v>2.6.2</v>
      </c>
      <c s="1007" t="str">
        <f>INDEX(TEMPLATE_DATA_POINT_FHD,B38,MATCH(TEMPLATE_SPHERE,TEMPLATE_SPHERE_LIST_FOR_NOTE,0))</f>
        <v>Расходы на амортизацию нематериальных активов</v>
      </c>
      <c s="1007">
        <f>INDEX(TEMPLATE_NOTE_POINT_FHD,B38,MATCH(TEMPLATE_SPHERE,TEMPLATE_SPHERE_LIST_FOR_NOTE,0))</f>
        <v>0</v>
      </c>
      <c s="846" t="str">
        <f>IF(I38=0,"",I38)</f>
        <v>2.6.2</v>
      </c>
      <c s="846" t="str">
        <f>IF(J38=0,"",J38)</f>
        <v>Расходы на амортизацию нематериальных активов</v>
      </c>
      <c s="846" t="str">
        <f>IF(K38=0,"",K38)</f>
        <v/>
      </c>
      <c s="959" t="s">
        <v>2089</v>
      </c>
      <c s="959" t="s">
        <v>2072</v>
      </c>
      <c s="959" t="s">
        <v>2089</v>
      </c>
      <c s="959" t="s">
        <v>2072</v>
      </c>
      <c s="959"/>
      <c s="966" t="s">
        <v>2090</v>
      </c>
      <c s="848" t="s">
        <v>2090</v>
      </c>
      <c s="848" t="s">
        <v>2090</v>
      </c>
      <c s="848" t="s">
        <v>2090</v>
      </c>
      <c s="845"/>
      <c s="1002"/>
      <c s="848"/>
      <c s="851"/>
      <c s="848"/>
      <c s="848"/>
      <c s="848"/>
    </row>
    <row r="39" spans="1:30" ht="36" customHeight="1">
      <c r="A39" s="847"/>
      <c s="901">
        <v>22</v>
      </c>
      <c s="845">
        <v>12</v>
      </c>
      <c s="969"/>
      <c s="845"/>
      <c s="845"/>
      <c s="893"/>
      <c s="960"/>
      <c s="1007" t="str">
        <f>INDEX(TEMPLATE_NUMBER_POINT_FHD,B39,MATCH(TEMPLATE_SPHERE,TEMPLATE_SPHERE_LIST_FOR_NOTE,0))</f>
        <v>2.7</v>
      </c>
      <c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s="1007">
        <f>INDEX(TEMPLATE_NOTE_POINT_FHD,B39,MATCH(TEMPLATE_SPHERE,TEMPLATE_SPHERE_LIST_FOR_NOTE,0))</f>
        <v>0</v>
      </c>
      <c s="846" t="str">
        <f>IF(I39=0,"",I39)</f>
        <v>2.7</v>
      </c>
      <c s="846" t="str">
        <f>IF(J39=0,"",J39)</f>
        <v>Расходы на аренду имущества, используемого для осуществления регулируемых видов деятельности в сфере водоотведения</v>
      </c>
      <c s="846" t="str">
        <f>IF(K39=0,"",K39)</f>
        <v/>
      </c>
      <c s="959" t="s">
        <v>746</v>
      </c>
      <c s="959" t="s">
        <v>740</v>
      </c>
      <c s="959" t="s">
        <v>746</v>
      </c>
      <c s="959" t="s">
        <v>740</v>
      </c>
      <c s="959"/>
      <c s="966" t="s">
        <v>2091</v>
      </c>
      <c s="848" t="s">
        <v>2092</v>
      </c>
      <c s="848" t="s">
        <v>2093</v>
      </c>
      <c s="848" t="s">
        <v>2094</v>
      </c>
      <c s="845"/>
      <c s="1002"/>
      <c s="848"/>
      <c s="851"/>
      <c s="848"/>
      <c s="848"/>
      <c s="848"/>
    </row>
    <row r="40" spans="1:30" ht="18" customHeight="1">
      <c r="A40" s="847"/>
      <c s="901">
        <v>23</v>
      </c>
      <c s="845">
        <v>13</v>
      </c>
      <c s="969"/>
      <c s="845"/>
      <c s="845"/>
      <c s="845"/>
      <c s="896"/>
      <c s="1007" t="str">
        <f>INDEX(TEMPLATE_NUMBER_POINT_FHD,B40,MATCH(TEMPLATE_SPHERE,TEMPLATE_SPHERE_LIST_FOR_NOTE,0))</f>
        <v>2.8</v>
      </c>
      <c s="1007" t="str">
        <f>INDEX(TEMPLATE_DATA_POINT_FHD,B40,MATCH(TEMPLATE_SPHERE,TEMPLATE_SPHERE_LIST_FOR_NOTE,0))</f>
        <v>Общепроизводственные расходы, в том числе:</v>
      </c>
      <c s="1007" t="str">
        <f>INDEX(TEMPLATE_NOTE_POINT_FHD,B40,MATCH(TEMPLATE_SPHERE,TEMPLATE_SPHERE_LIST_FOR_NOTE,0))</f>
        <v>Указывается общая сумма общепроизводственных расходов.</v>
      </c>
      <c s="846" t="str">
        <f>IF(I40=0,"",I40)</f>
        <v>2.8</v>
      </c>
      <c s="846" t="str">
        <f>IF(J40=0,"",J40)</f>
        <v>Общепроизводственные расходы, в том числе:</v>
      </c>
      <c s="846" t="str">
        <f>IF(K40=0,"",K40)</f>
        <v>Указывается общая сумма общепроизводственных расходов.</v>
      </c>
      <c s="959" t="s">
        <v>2095</v>
      </c>
      <c s="959" t="s">
        <v>742</v>
      </c>
      <c s="959" t="s">
        <v>2095</v>
      </c>
      <c s="959" t="s">
        <v>742</v>
      </c>
      <c s="959"/>
      <c s="845" t="s">
        <v>2096</v>
      </c>
      <c s="845" t="s">
        <v>2096</v>
      </c>
      <c s="845" t="s">
        <v>2096</v>
      </c>
      <c s="845" t="s">
        <v>2096</v>
      </c>
      <c s="845"/>
      <c s="1002"/>
      <c s="848" t="s">
        <v>2097</v>
      </c>
      <c s="851" t="s">
        <v>2097</v>
      </c>
      <c s="851" t="s">
        <v>2097</v>
      </c>
      <c s="851" t="s">
        <v>2097</v>
      </c>
      <c s="848"/>
    </row>
    <row r="41" spans="1:30" ht="27" customHeight="1">
      <c r="A41" s="847"/>
      <c s="901">
        <v>24</v>
      </c>
      <c s="845" t="s">
        <v>2098</v>
      </c>
      <c s="969"/>
      <c s="845"/>
      <c s="845"/>
      <c s="845"/>
      <c s="893"/>
      <c s="1007" t="str">
        <f>INDEX(TEMPLATE_NUMBER_POINT_FHD,B41,MATCH(TEMPLATE_SPHERE,TEMPLATE_SPHERE_LIST_FOR_NOTE,0))</f>
        <v>2.8.1</v>
      </c>
      <c s="1007" t="str">
        <f>INDEX(TEMPLATE_DATA_POINT_FHD,B41,MATCH(TEMPLATE_SPHERE,TEMPLATE_SPHERE_LIST_FOR_NOTE,0))</f>
        <v>Расходы на текущий ремонт</v>
      </c>
      <c s="1007" t="str">
        <f>INDEX(TEMPLATE_NOTE_POINT_FHD,B41,MATCH(TEMPLATE_SPHERE,TEMPLATE_SPHERE_LIST_FOR_NOTE,0))</f>
        <v>Указываются расходы на текущий ремонт, отнесенные к общепроизводственным расходам.</v>
      </c>
      <c s="846" t="str">
        <f>IF(I41=0,"",I41)</f>
        <v>2.8.1</v>
      </c>
      <c s="846" t="str">
        <f>IF(J41=0,"",J41)</f>
        <v>Расходы на текущий ремонт</v>
      </c>
      <c s="846" t="str">
        <f>IF(K41=0,"",K41)</f>
        <v>Указываются расходы на текущий ремонт, отнесенные к общепроизводственным расходам.</v>
      </c>
      <c s="959" t="s">
        <v>2099</v>
      </c>
      <c s="959" t="s">
        <v>2086</v>
      </c>
      <c s="959" t="s">
        <v>2099</v>
      </c>
      <c s="959" t="s">
        <v>2086</v>
      </c>
      <c s="959"/>
      <c s="845" t="s">
        <v>2100</v>
      </c>
      <c s="845" t="s">
        <v>2100</v>
      </c>
      <c s="845" t="s">
        <v>2100</v>
      </c>
      <c s="845" t="s">
        <v>2100</v>
      </c>
      <c s="845"/>
      <c s="1002"/>
      <c s="848" t="s">
        <v>2101</v>
      </c>
      <c s="848" t="s">
        <v>2101</v>
      </c>
      <c s="848" t="s">
        <v>2101</v>
      </c>
      <c s="848" t="s">
        <v>2101</v>
      </c>
      <c s="848"/>
    </row>
    <row r="42" spans="1:30" ht="27" customHeight="1">
      <c r="A42" s="847"/>
      <c s="901">
        <v>25</v>
      </c>
      <c s="845" t="s">
        <v>2102</v>
      </c>
      <c s="969"/>
      <c s="845"/>
      <c s="845"/>
      <c s="845"/>
      <c s="893"/>
      <c s="1007" t="str">
        <f>INDEX(TEMPLATE_NUMBER_POINT_FHD,B42,MATCH(TEMPLATE_SPHERE,TEMPLATE_SPHERE_LIST_FOR_NOTE,0))</f>
        <v>2.8.2</v>
      </c>
      <c s="1007" t="str">
        <f>INDEX(TEMPLATE_DATA_POINT_FHD,B42,MATCH(TEMPLATE_SPHERE,TEMPLATE_SPHERE_LIST_FOR_NOTE,0))</f>
        <v>Расходы на капитальный ремонт</v>
      </c>
      <c s="1007" t="str">
        <f>INDEX(TEMPLATE_NOTE_POINT_FHD,B42,MATCH(TEMPLATE_SPHERE,TEMPLATE_SPHERE_LIST_FOR_NOTE,0))</f>
        <v>Указываются расходы на капитальный ремонт, отнесенные к общепроизводственным расходам.</v>
      </c>
      <c s="846" t="str">
        <f>IF(I42=0,"",I42)</f>
        <v>2.8.2</v>
      </c>
      <c s="846" t="str">
        <f>IF(J42=0,"",J42)</f>
        <v>Расходы на капитальный ремонт</v>
      </c>
      <c s="846" t="str">
        <f>IF(K42=0,"",K42)</f>
        <v>Указываются расходы на капитальный ремонт, отнесенные к общепроизводственным расходам.</v>
      </c>
      <c s="959" t="s">
        <v>2103</v>
      </c>
      <c s="959" t="s">
        <v>2089</v>
      </c>
      <c s="959" t="s">
        <v>2103</v>
      </c>
      <c s="959" t="s">
        <v>2089</v>
      </c>
      <c s="959"/>
      <c s="845" t="s">
        <v>2104</v>
      </c>
      <c s="845" t="s">
        <v>2104</v>
      </c>
      <c s="845" t="s">
        <v>2104</v>
      </c>
      <c s="845" t="s">
        <v>2104</v>
      </c>
      <c s="845"/>
      <c s="1002"/>
      <c s="848" t="s">
        <v>2105</v>
      </c>
      <c s="848" t="s">
        <v>2105</v>
      </c>
      <c s="848" t="s">
        <v>2105</v>
      </c>
      <c s="848" t="s">
        <v>2105</v>
      </c>
      <c s="848"/>
    </row>
    <row r="43" spans="1:30" ht="18" customHeight="1">
      <c r="A43" s="847"/>
      <c s="901">
        <v>26</v>
      </c>
      <c s="845">
        <v>14</v>
      </c>
      <c s="969"/>
      <c s="845"/>
      <c s="845"/>
      <c s="845"/>
      <c s="893"/>
      <c s="1007" t="str">
        <f>INDEX(TEMPLATE_NUMBER_POINT_FHD,B43,MATCH(TEMPLATE_SPHERE,TEMPLATE_SPHERE_LIST_FOR_NOTE,0))</f>
        <v>2.9</v>
      </c>
      <c s="1007" t="str">
        <f>INDEX(TEMPLATE_DATA_POINT_FHD,B43,MATCH(TEMPLATE_SPHERE,TEMPLATE_SPHERE_LIST_FOR_NOTE,0))</f>
        <v>Общехозяйственные расходы, в том числе:</v>
      </c>
      <c s="1007" t="str">
        <f>INDEX(TEMPLATE_NOTE_POINT_FHD,B43,MATCH(TEMPLATE_SPHERE,TEMPLATE_SPHERE_LIST_FOR_NOTE,0))</f>
        <v>Указывается общая сумма общехозяйственных расходов.</v>
      </c>
      <c s="846" t="str">
        <f>IF(I43=0,"",I43)</f>
        <v>2.9</v>
      </c>
      <c s="846" t="str">
        <f>IF(J43=0,"",J43)</f>
        <v>Общехозяйственные расходы, в том числе:</v>
      </c>
      <c s="846" t="str">
        <f>IF(K43=0,"",K43)</f>
        <v>Указывается общая сумма общехозяйственных расходов.</v>
      </c>
      <c s="959" t="s">
        <v>2106</v>
      </c>
      <c s="959" t="s">
        <v>746</v>
      </c>
      <c s="959" t="s">
        <v>2106</v>
      </c>
      <c s="959" t="s">
        <v>746</v>
      </c>
      <c s="959"/>
      <c s="845" t="s">
        <v>2107</v>
      </c>
      <c s="845" t="s">
        <v>2107</v>
      </c>
      <c s="845" t="s">
        <v>2107</v>
      </c>
      <c s="845" t="s">
        <v>2107</v>
      </c>
      <c s="845"/>
      <c s="1002"/>
      <c s="848" t="s">
        <v>2108</v>
      </c>
      <c s="848" t="s">
        <v>2108</v>
      </c>
      <c s="848" t="s">
        <v>2108</v>
      </c>
      <c s="848" t="s">
        <v>2108</v>
      </c>
      <c s="848"/>
    </row>
    <row r="44" spans="1:30" ht="27" customHeight="1">
      <c r="A44" s="847"/>
      <c s="901">
        <v>27</v>
      </c>
      <c s="845" t="s">
        <v>2109</v>
      </c>
      <c s="969"/>
      <c s="845"/>
      <c s="845"/>
      <c s="845"/>
      <c s="893"/>
      <c s="1007" t="str">
        <f>INDEX(TEMPLATE_NUMBER_POINT_FHD,B44,MATCH(TEMPLATE_SPHERE,TEMPLATE_SPHERE_LIST_FOR_NOTE,0))</f>
        <v>2.9.1</v>
      </c>
      <c s="1007" t="str">
        <f>INDEX(TEMPLATE_DATA_POINT_FHD,B44,MATCH(TEMPLATE_SPHERE,TEMPLATE_SPHERE_LIST_FOR_NOTE,0))</f>
        <v>Расходы на текущий ремонт</v>
      </c>
      <c s="1007" t="str">
        <f>INDEX(TEMPLATE_NOTE_POINT_FHD,B44,MATCH(TEMPLATE_SPHERE,TEMPLATE_SPHERE_LIST_FOR_NOTE,0))</f>
        <v>Указываются расходы на текущий ремонт, отнесенные к общехозяйственным расходам.</v>
      </c>
      <c s="846" t="str">
        <f>IF(I44=0,"",I44)</f>
        <v>2.9.1</v>
      </c>
      <c s="846" t="str">
        <f>IF(J44=0,"",J44)</f>
        <v>Расходы на текущий ремонт</v>
      </c>
      <c s="846" t="str">
        <f>IF(K44=0,"",K44)</f>
        <v>Указываются расходы на текущий ремонт, отнесенные к общехозяйственным расходам.</v>
      </c>
      <c s="959" t="s">
        <v>2110</v>
      </c>
      <c s="959" t="s">
        <v>2111</v>
      </c>
      <c s="959" t="s">
        <v>2110</v>
      </c>
      <c s="959" t="s">
        <v>2111</v>
      </c>
      <c s="959"/>
      <c s="845" t="s">
        <v>2100</v>
      </c>
      <c s="845" t="s">
        <v>2100</v>
      </c>
      <c s="845" t="s">
        <v>2100</v>
      </c>
      <c s="845" t="s">
        <v>2100</v>
      </c>
      <c s="845"/>
      <c s="1002"/>
      <c s="848" t="s">
        <v>2112</v>
      </c>
      <c s="848" t="s">
        <v>2112</v>
      </c>
      <c s="848" t="s">
        <v>2112</v>
      </c>
      <c s="848" t="s">
        <v>2112</v>
      </c>
      <c s="848"/>
    </row>
    <row r="45" spans="1:30" ht="27" customHeight="1">
      <c r="A45" s="847"/>
      <c s="901">
        <v>28</v>
      </c>
      <c s="845" t="s">
        <v>2113</v>
      </c>
      <c s="969"/>
      <c s="845"/>
      <c s="845"/>
      <c s="845"/>
      <c s="893"/>
      <c s="1007" t="str">
        <f>INDEX(TEMPLATE_NUMBER_POINT_FHD,B45,MATCH(TEMPLATE_SPHERE,TEMPLATE_SPHERE_LIST_FOR_NOTE,0))</f>
        <v>2.9.2</v>
      </c>
      <c s="1007" t="str">
        <f>INDEX(TEMPLATE_DATA_POINT_FHD,B45,MATCH(TEMPLATE_SPHERE,TEMPLATE_SPHERE_LIST_FOR_NOTE,0))</f>
        <v>Расходы на капитальный ремонт</v>
      </c>
      <c s="1007" t="str">
        <f>INDEX(TEMPLATE_NOTE_POINT_FHD,B45,MATCH(TEMPLATE_SPHERE,TEMPLATE_SPHERE_LIST_FOR_NOTE,0))</f>
        <v>Указываются расходы на капитальный ремонт, отнесенные к общехозяйственным расходам.</v>
      </c>
      <c s="846" t="str">
        <f>IF(I45=0,"",I45)</f>
        <v>2.9.2</v>
      </c>
      <c s="846" t="str">
        <f>IF(J45=0,"",J45)</f>
        <v>Расходы на капитальный ремонт</v>
      </c>
      <c s="846" t="str">
        <f>IF(K45=0,"",K45)</f>
        <v>Указываются расходы на капитальный ремонт, отнесенные к общехозяйственным расходам.</v>
      </c>
      <c s="959" t="s">
        <v>2114</v>
      </c>
      <c s="959" t="s">
        <v>2115</v>
      </c>
      <c s="959" t="s">
        <v>2114</v>
      </c>
      <c s="959" t="s">
        <v>2115</v>
      </c>
      <c s="959"/>
      <c s="845" t="s">
        <v>2104</v>
      </c>
      <c s="845" t="s">
        <v>2104</v>
      </c>
      <c s="845" t="s">
        <v>2104</v>
      </c>
      <c s="845" t="s">
        <v>2104</v>
      </c>
      <c s="845"/>
      <c s="1002"/>
      <c s="848" t="s">
        <v>2116</v>
      </c>
      <c s="848" t="s">
        <v>2116</v>
      </c>
      <c s="848" t="s">
        <v>2116</v>
      </c>
      <c s="848" t="s">
        <v>2116</v>
      </c>
      <c s="848"/>
    </row>
    <row r="46" spans="1:30" ht="54" customHeight="1">
      <c r="A46" s="847"/>
      <c s="901">
        <v>29</v>
      </c>
      <c s="845">
        <v>15</v>
      </c>
      <c s="969"/>
      <c s="845"/>
      <c s="845"/>
      <c s="845"/>
      <c s="893"/>
      <c s="1007" t="str">
        <f>INDEX(TEMPLATE_NUMBER_POINT_FHD,B46,MATCH(TEMPLATE_SPHERE,TEMPLATE_SPHERE_LIST_FOR_NOTE,0))</f>
        <v>2.10</v>
      </c>
      <c s="1007" t="str">
        <f>INDEX(TEMPLATE_DATA_POINT_FHD,B46,MATCH(TEMPLATE_SPHERE,TEMPLATE_SPHERE_LIST_FOR_NOTE,0))</f>
        <v>Расходы на капитальный и текущий ремонт основных средств</v>
      </c>
      <c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6" t="str">
        <f>IF(I46=0,"",I46)</f>
        <v>2.10</v>
      </c>
      <c s="846" t="str">
        <f>IF(J46=0,"",J46)</f>
        <v>Расходы на капитальный и текущий ремонт основных средств</v>
      </c>
      <c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9" t="s">
        <v>2117</v>
      </c>
      <c s="959" t="s">
        <v>2095</v>
      </c>
      <c s="959" t="s">
        <v>2117</v>
      </c>
      <c s="959" t="s">
        <v>2095</v>
      </c>
      <c s="959"/>
      <c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5" t="s">
        <v>2118</v>
      </c>
      <c s="845" t="s">
        <v>2118</v>
      </c>
      <c s="845" t="s">
        <v>2118</v>
      </c>
      <c s="845"/>
      <c s="1002"/>
      <c s="848" t="s">
        <v>2119</v>
      </c>
      <c s="848" t="s">
        <v>2120</v>
      </c>
      <c s="848" t="s">
        <v>2120</v>
      </c>
      <c s="848" t="s">
        <v>2120</v>
      </c>
      <c s="848"/>
    </row>
    <row r="47" spans="1:30" ht="54" customHeight="1">
      <c r="A47" s="847"/>
      <c s="901">
        <v>30</v>
      </c>
      <c s="845" t="s">
        <v>2121</v>
      </c>
      <c s="969"/>
      <c s="845"/>
      <c s="845"/>
      <c s="845"/>
      <c s="893"/>
      <c s="1007" t="str">
        <f>INDEX(TEMPLATE_NUMBER_POINT_FHD,B47,MATCH(TEMPLATE_SPHERE,TEMPLATE_SPHERE_LIST_FOR_NOTE,0))</f>
        <v>2.10.1</v>
      </c>
      <c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7">
        <f>INDEX(TEMPLATE_NOTE_POINT_FHD,B47,MATCH(TEMPLATE_SPHERE,TEMPLATE_SPHERE_LIST_FOR_NOTE,0))</f>
        <v>0</v>
      </c>
      <c s="846" t="str">
        <f>IF(I47=0,"",I47)</f>
        <v>2.10.1</v>
      </c>
      <c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6" t="str">
        <f>IF(K47=0,"",K47)</f>
        <v/>
      </c>
      <c s="959" t="s">
        <v>2122</v>
      </c>
      <c s="959" t="s">
        <v>2099</v>
      </c>
      <c s="959" t="s">
        <v>2122</v>
      </c>
      <c s="959" t="s">
        <v>2099</v>
      </c>
      <c s="959"/>
      <c s="845" t="s">
        <v>2123</v>
      </c>
      <c s="845" t="s">
        <v>2123</v>
      </c>
      <c s="845" t="s">
        <v>2123</v>
      </c>
      <c s="845" t="s">
        <v>2123</v>
      </c>
      <c s="845"/>
      <c s="1002"/>
      <c s="848"/>
      <c s="851"/>
      <c s="851"/>
      <c s="851"/>
      <c s="848"/>
    </row>
    <row r="48" spans="1:30" ht="54" customHeight="1">
      <c r="A48" s="847"/>
      <c s="901">
        <v>31</v>
      </c>
      <c s="845">
        <v>16</v>
      </c>
      <c s="969"/>
      <c s="845"/>
      <c s="845"/>
      <c s="845"/>
      <c s="893"/>
      <c s="1007" t="str">
        <f>INDEX(TEMPLATE_NUMBER_POINT_FHD,B48,MATCH(TEMPLATE_SPHERE,TEMPLATE_SPHERE_LIST_FOR_NOTE,0))</f>
        <v>2.11</v>
      </c>
      <c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6" t="str">
        <f>IF(I48=0,"",I48)</f>
        <v>2.11</v>
      </c>
      <c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9"/>
      <c s="959" t="s">
        <v>2106</v>
      </c>
      <c s="959" t="s">
        <v>2124</v>
      </c>
      <c s="959" t="s">
        <v>2106</v>
      </c>
      <c s="959"/>
      <c s="845"/>
      <c s="845" t="s">
        <v>2125</v>
      </c>
      <c s="845" t="s">
        <v>2126</v>
      </c>
      <c s="845" t="s">
        <v>2126</v>
      </c>
      <c s="845"/>
      <c s="1002"/>
      <c s="848"/>
      <c s="851" t="s">
        <v>2120</v>
      </c>
      <c s="851" t="s">
        <v>2120</v>
      </c>
      <c s="851" t="s">
        <v>2120</v>
      </c>
      <c s="848"/>
    </row>
    <row r="49" spans="1:30" ht="54" customHeight="1">
      <c r="A49" s="847"/>
      <c s="901">
        <v>32</v>
      </c>
      <c s="845" t="s">
        <v>2127</v>
      </c>
      <c s="969"/>
      <c s="845"/>
      <c s="845"/>
      <c s="845"/>
      <c s="893"/>
      <c s="1007" t="str">
        <f>INDEX(TEMPLATE_NUMBER_POINT_FHD,B49,MATCH(TEMPLATE_SPHERE,TEMPLATE_SPHERE_LIST_FOR_NOTE,0))</f>
        <v>2.11.1</v>
      </c>
      <c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7">
        <f>INDEX(TEMPLATE_NOTE_POINT_FHD,B49,MATCH(TEMPLATE_SPHERE,TEMPLATE_SPHERE_LIST_FOR_NOTE,0))</f>
        <v>0</v>
      </c>
      <c s="846" t="str">
        <f>IF(I49=0,"",I49)</f>
        <v>2.11.1</v>
      </c>
      <c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6" t="str">
        <f>IF(K49=0,"",K49)</f>
        <v/>
      </c>
      <c s="959"/>
      <c s="959" t="s">
        <v>2110</v>
      </c>
      <c s="959" t="s">
        <v>2128</v>
      </c>
      <c s="959" t="s">
        <v>2110</v>
      </c>
      <c s="959"/>
      <c s="845"/>
      <c s="845" t="s">
        <v>2123</v>
      </c>
      <c s="845" t="s">
        <v>2123</v>
      </c>
      <c s="845" t="s">
        <v>2123</v>
      </c>
      <c s="845"/>
      <c s="1002"/>
      <c s="848"/>
      <c s="851"/>
      <c s="851"/>
      <c s="851"/>
      <c s="848"/>
    </row>
    <row r="50" spans="1:30" ht="126" customHeight="1">
      <c r="A50" s="847"/>
      <c s="901">
        <v>33</v>
      </c>
      <c s="845">
        <v>17</v>
      </c>
      <c s="969"/>
      <c s="845"/>
      <c s="845"/>
      <c s="845"/>
      <c s="893"/>
      <c s="1007" t="str">
        <f>INDEX(TEMPLATE_NUMBER_POINT_FHD,B50,MATCH(TEMPLATE_SPHERE,TEMPLATE_SPHERE_LIST_FOR_NOTE,0))</f>
        <v>2.12</v>
      </c>
      <c s="1007"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6" t="str">
        <f>IF(I50=0,"",I50)</f>
        <v>2.12</v>
      </c>
      <c s="846"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9" t="s">
        <v>2124</v>
      </c>
      <c s="959" t="s">
        <v>2117</v>
      </c>
      <c s="959" t="s">
        <v>2129</v>
      </c>
      <c s="959" t="s">
        <v>2117</v>
      </c>
      <c s="959"/>
      <c s="845" t="s">
        <v>2130</v>
      </c>
      <c s="845" t="s">
        <v>2131</v>
      </c>
      <c s="845" t="s">
        <v>2132</v>
      </c>
      <c s="845" t="s">
        <v>2133</v>
      </c>
      <c s="845"/>
      <c s="1002"/>
      <c s="848" t="s">
        <v>2134</v>
      </c>
      <c s="851" t="s">
        <v>2135</v>
      </c>
      <c s="851" t="s">
        <v>2135</v>
      </c>
      <c s="851" t="s">
        <v>2135</v>
      </c>
      <c s="848"/>
    </row>
    <row r="51" spans="1:30" ht="27" customHeight="1">
      <c r="A51" s="847"/>
      <c s="901">
        <v>34</v>
      </c>
      <c s="845" t="s">
        <v>2136</v>
      </c>
      <c s="969"/>
      <c s="845"/>
      <c s="845"/>
      <c s="845"/>
      <c s="893"/>
      <c s="1007">
        <f>INDEX(TEMPLATE_NUMBER_POINT_FHD,B51,MATCH(TEMPLATE_SPHERE,TEMPLATE_SPHERE_LIST_FOR_NOTE,0))</f>
        <v>0</v>
      </c>
      <c s="1007">
        <f>INDEX(TEMPLATE_DATA_POINT_FHD,B51,MATCH(TEMPLATE_SPHERE,TEMPLATE_SPHERE_LIST_FOR_NOTE,0))</f>
        <v>0</v>
      </c>
      <c s="1007">
        <f>INDEX(TEMPLATE_NOTE_POINT_FHD,B51,MATCH(TEMPLATE_SPHERE,TEMPLATE_SPHERE_LIST_FOR_NOTE,0))</f>
        <v>0</v>
      </c>
      <c s="846" t="str">
        <f>IF(I51=0,"",I51)</f>
        <v/>
      </c>
      <c s="846" t="str">
        <f>IF(J51=0,"",J51)</f>
        <v/>
      </c>
      <c s="846" t="str">
        <f>IF(K51=0,"",K51)</f>
        <v/>
      </c>
      <c s="959" t="s">
        <v>89</v>
      </c>
      <c s="959"/>
      <c s="959"/>
      <c s="959"/>
      <c s="959"/>
      <c s="845" t="s">
        <v>2137</v>
      </c>
      <c s="845"/>
      <c s="845"/>
      <c s="845"/>
      <c s="845"/>
      <c s="1002"/>
      <c s="848"/>
      <c s="851"/>
      <c s="851"/>
      <c s="851"/>
      <c s="848"/>
    </row>
    <row r="52" spans="1:30" ht="36" customHeight="1">
      <c r="A52" s="847"/>
      <c s="901">
        <v>35</v>
      </c>
      <c s="845" t="s">
        <v>2030</v>
      </c>
      <c s="969" t="s">
        <v>2030</v>
      </c>
      <c s="845" t="s">
        <v>2030</v>
      </c>
      <c s="845" t="s">
        <v>2030</v>
      </c>
      <c s="845"/>
      <c s="893"/>
      <c s="1007" t="str">
        <f>INDEX(TEMPLATE_NUMBER_POINT_FHD,B52,MATCH(TEMPLATE_SPHERE,TEMPLATE_SPHERE_LIST_FOR_NOTE,0))</f>
        <v>3</v>
      </c>
      <c s="1007" t="str">
        <f>INDEX(TEMPLATE_DATA_POINT_FHD,B52,MATCH(TEMPLATE_SPHERE,TEMPLATE_SPHERE_LIST_FOR_NOTE,0))</f>
        <v>Чистая прибыль, полученная от регулируемого вида деятельности в сфере водоотведения, в том числе:</v>
      </c>
      <c s="1007" t="str">
        <f>INDEX(TEMPLATE_NOTE_POINT_FHD,B52,MATCH(TEMPLATE_SPHERE,TEMPLATE_SPHERE_LIST_FOR_NOTE,0))</f>
        <v>Указывается общая сумма чистой прибыли, полученной от регулируемого вида деятельности.</v>
      </c>
      <c s="846" t="str">
        <f>IF(I52=0,"",I52)</f>
        <v>3</v>
      </c>
      <c s="846" t="str">
        <f>IF(J52=0,"",J52)</f>
        <v>Чистая прибыль, полученная от регулируемого вида деятельности в сфере водоотведения, в том числе:</v>
      </c>
      <c s="846" t="str">
        <f>IF(K52=0,"",K52)</f>
        <v>Указывается общая сумма чистой прибыли, полученной от регулируемого вида деятельности.</v>
      </c>
      <c s="959" t="s">
        <v>90</v>
      </c>
      <c s="959" t="s">
        <v>89</v>
      </c>
      <c s="959" t="s">
        <v>89</v>
      </c>
      <c s="959" t="s">
        <v>89</v>
      </c>
      <c s="959"/>
      <c s="845" t="s">
        <v>2138</v>
      </c>
      <c s="845" t="s">
        <v>2139</v>
      </c>
      <c s="845" t="s">
        <v>2140</v>
      </c>
      <c s="845" t="s">
        <v>2141</v>
      </c>
      <c s="845"/>
      <c s="1002"/>
      <c s="848" t="s">
        <v>750</v>
      </c>
      <c s="851" t="s">
        <v>750</v>
      </c>
      <c s="851" t="s">
        <v>750</v>
      </c>
      <c s="851" t="s">
        <v>750</v>
      </c>
      <c s="848"/>
    </row>
    <row r="53" spans="1:30" ht="36" customHeight="1">
      <c r="A53" s="847"/>
      <c s="901">
        <v>36</v>
      </c>
      <c s="845">
        <v>1</v>
      </c>
      <c s="969"/>
      <c s="845"/>
      <c s="845"/>
      <c s="845"/>
      <c s="893"/>
      <c s="1007" t="str">
        <f>INDEX(TEMPLATE_NUMBER_POINT_FHD,B53,MATCH(TEMPLATE_SPHERE,TEMPLATE_SPHERE_LIST_FOR_NOTE,0))</f>
        <v>3.1</v>
      </c>
      <c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7">
        <f>INDEX(TEMPLATE_NOTE_POINT_FHD,B53,MATCH(TEMPLATE_SPHERE,TEMPLATE_SPHERE_LIST_FOR_NOTE,0))</f>
        <v>0</v>
      </c>
      <c s="846" t="str">
        <f>IF(I53=0,"",I53)</f>
        <v>3.1</v>
      </c>
      <c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s="846" t="str">
        <f>IF(K53=0,"",K53)</f>
        <v/>
      </c>
      <c s="959" t="s">
        <v>754</v>
      </c>
      <c s="959" t="s">
        <v>324</v>
      </c>
      <c s="959" t="s">
        <v>324</v>
      </c>
      <c s="959" t="s">
        <v>324</v>
      </c>
      <c s="959"/>
      <c s="845" t="s">
        <v>2142</v>
      </c>
      <c s="845" t="s">
        <v>2142</v>
      </c>
      <c s="845" t="s">
        <v>2142</v>
      </c>
      <c s="845" t="s">
        <v>2142</v>
      </c>
      <c s="845"/>
      <c s="1002"/>
      <c s="848"/>
      <c s="851"/>
      <c s="848"/>
      <c s="848"/>
      <c s="848"/>
    </row>
    <row r="54" spans="1:30" ht="18" customHeight="1">
      <c r="A54" s="847"/>
      <c s="901">
        <v>37</v>
      </c>
      <c s="845" t="s">
        <v>2036</v>
      </c>
      <c s="969" t="s">
        <v>2036</v>
      </c>
      <c s="845" t="s">
        <v>2036</v>
      </c>
      <c s="845" t="s">
        <v>2036</v>
      </c>
      <c s="845"/>
      <c s="893"/>
      <c s="1007" t="str">
        <f>INDEX(TEMPLATE_NUMBER_POINT_FHD,B54,MATCH(TEMPLATE_SPHERE,TEMPLATE_SPHERE_LIST_FOR_NOTE,0))</f>
        <v>4</v>
      </c>
      <c s="1007" t="str">
        <f>INDEX(TEMPLATE_DATA_POINT_FHD,B54,MATCH(TEMPLATE_SPHERE,TEMPLATE_SPHERE_LIST_FOR_NOTE,0))</f>
        <v>Изменение стоимости основных фондов, в том числе:</v>
      </c>
      <c s="1007" t="str">
        <f>INDEX(TEMPLATE_NOTE_POINT_FHD,B54,MATCH(TEMPLATE_SPHERE,TEMPLATE_SPHERE_LIST_FOR_NOTE,0))</f>
        <v>Указывается общее изменение стоимости основных фондов.</v>
      </c>
      <c s="846" t="str">
        <f>IF(I54=0,"",I54)</f>
        <v>4</v>
      </c>
      <c s="846" t="str">
        <f>IF(J54=0,"",J54)</f>
        <v>Изменение стоимости основных фондов, в том числе:</v>
      </c>
      <c s="846" t="str">
        <f>IF(K54=0,"",K54)</f>
        <v>Указывается общее изменение стоимости основных фондов.</v>
      </c>
      <c s="959" t="s">
        <v>111</v>
      </c>
      <c s="959" t="s">
        <v>90</v>
      </c>
      <c s="959" t="s">
        <v>90</v>
      </c>
      <c s="959" t="s">
        <v>90</v>
      </c>
      <c s="959"/>
      <c s="845" t="s">
        <v>752</v>
      </c>
      <c s="845" t="s">
        <v>752</v>
      </c>
      <c s="845" t="s">
        <v>752</v>
      </c>
      <c s="845" t="s">
        <v>752</v>
      </c>
      <c s="845"/>
      <c s="1002"/>
      <c s="848" t="s">
        <v>753</v>
      </c>
      <c s="848" t="s">
        <v>753</v>
      </c>
      <c s="848" t="s">
        <v>753</v>
      </c>
      <c s="848" t="s">
        <v>753</v>
      </c>
      <c s="848"/>
    </row>
    <row r="55" spans="1:30" ht="36" customHeight="1">
      <c r="A55" s="847"/>
      <c s="901">
        <v>38</v>
      </c>
      <c s="845">
        <v>1</v>
      </c>
      <c s="969"/>
      <c s="845"/>
      <c s="845"/>
      <c s="845"/>
      <c s="893"/>
      <c s="1007" t="str">
        <f>INDEX(TEMPLATE_NUMBER_POINT_FHD,B55,MATCH(TEMPLATE_SPHERE,TEMPLATE_SPHERE_LIST_FOR_NOTE,0))</f>
        <v>4.1</v>
      </c>
      <c s="1007" t="str">
        <f>INDEX(TEMPLATE_DATA_POINT_FHD,B55,MATCH(TEMPLATE_SPHERE,TEMPLATE_SPHERE_LIST_FOR_NOTE,0))</f>
        <v>Изменение стоимости основных фондов за счет их ввода в эксплуатацию (вывода из эксплуатации)</v>
      </c>
      <c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6" t="str">
        <f>IF(I55=0,"",I55)</f>
        <v>4.1</v>
      </c>
      <c s="846" t="str">
        <f>IF(J55=0,"",J55)</f>
        <v>Изменение стоимости основных фондов за счет их ввода в эксплуатацию (вывода из эксплуатации)</v>
      </c>
      <c s="846" t="str">
        <f>IF(K55=0,"",K55)</f>
        <v>Указываются общее изменение стоимости основных фондов за счет их ввода в эксплуатацию и вывода из эксплуатации.</v>
      </c>
      <c s="959" t="s">
        <v>313</v>
      </c>
      <c s="959" t="s">
        <v>754</v>
      </c>
      <c s="959" t="s">
        <v>754</v>
      </c>
      <c s="959" t="s">
        <v>754</v>
      </c>
      <c s="959"/>
      <c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5" t="s">
        <v>2143</v>
      </c>
      <c s="845" t="s">
        <v>2143</v>
      </c>
      <c s="845" t="s">
        <v>2143</v>
      </c>
      <c s="845"/>
      <c s="1002"/>
      <c s="848" t="s">
        <v>2144</v>
      </c>
      <c s="848" t="s">
        <v>2144</v>
      </c>
      <c s="848" t="s">
        <v>2144</v>
      </c>
      <c s="848" t="s">
        <v>2144</v>
      </c>
      <c s="848"/>
    </row>
    <row r="56" spans="1:30" ht="27" customHeight="1">
      <c r="A56" s="847"/>
      <c s="901">
        <v>39</v>
      </c>
      <c s="845" t="s">
        <v>1022</v>
      </c>
      <c s="969"/>
      <c s="845"/>
      <c s="845"/>
      <c s="845"/>
      <c s="893"/>
      <c s="1007" t="str">
        <f>INDEX(TEMPLATE_NUMBER_POINT_FHD,B56,MATCH(TEMPLATE_SPHERE,TEMPLATE_SPHERE_LIST_FOR_NOTE,0))</f>
        <v>4.1.1</v>
      </c>
      <c s="1007" t="str">
        <f>INDEX(TEMPLATE_DATA_POINT_FHD,B56,MATCH(TEMPLATE_SPHERE,TEMPLATE_SPHERE_LIST_FOR_NOTE,0))</f>
        <v>Изменение стоимости основных фондов за счет их ввода в эксплуатацию</v>
      </c>
      <c s="1007" t="str">
        <f>INDEX(TEMPLATE_NOTE_POINT_FHD,B56,MATCH(TEMPLATE_SPHERE,TEMPLATE_SPHERE_LIST_FOR_NOTE,0))</f>
        <v>Указываются изменение стоимости основных фондов за счет их ввода в эксплуатацию.</v>
      </c>
      <c s="846" t="str">
        <f>IF(I56=0,"",I56)</f>
        <v>4.1.1</v>
      </c>
      <c s="846" t="str">
        <f>IF(J56=0,"",J56)</f>
        <v>Изменение стоимости основных фондов за счет их ввода в эксплуатацию</v>
      </c>
      <c s="846" t="str">
        <f>IF(K56=0,"",K56)</f>
        <v>Указываются изменение стоимости основных фондов за счет их ввода в эксплуатацию.</v>
      </c>
      <c s="959" t="s">
        <v>1140</v>
      </c>
      <c s="959" t="s">
        <v>757</v>
      </c>
      <c s="959" t="s">
        <v>757</v>
      </c>
      <c s="959" t="s">
        <v>757</v>
      </c>
      <c s="959"/>
      <c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5" t="s">
        <v>2145</v>
      </c>
      <c s="845" t="s">
        <v>2145</v>
      </c>
      <c s="845" t="s">
        <v>2145</v>
      </c>
      <c s="845"/>
      <c s="1002"/>
      <c s="848" t="s">
        <v>759</v>
      </c>
      <c s="848" t="s">
        <v>759</v>
      </c>
      <c s="848" t="s">
        <v>759</v>
      </c>
      <c s="848" t="s">
        <v>759</v>
      </c>
      <c s="848"/>
    </row>
    <row r="57" spans="1:30" ht="27" customHeight="1">
      <c r="A57" s="847"/>
      <c s="901">
        <v>40</v>
      </c>
      <c s="845" t="s">
        <v>1024</v>
      </c>
      <c s="969"/>
      <c s="845"/>
      <c s="845"/>
      <c s="845"/>
      <c s="893"/>
      <c s="1007" t="str">
        <f>INDEX(TEMPLATE_NUMBER_POINT_FHD,B57,MATCH(TEMPLATE_SPHERE,TEMPLATE_SPHERE_LIST_FOR_NOTE,0))</f>
        <v>4.1.2</v>
      </c>
      <c s="1007" t="str">
        <f>INDEX(TEMPLATE_DATA_POINT_FHD,B57,MATCH(TEMPLATE_SPHERE,TEMPLATE_SPHERE_LIST_FOR_NOTE,0))</f>
        <v>Изменение стоимости основных фондов за счет их вывода в эксплуатацию</v>
      </c>
      <c s="1007" t="str">
        <f>INDEX(TEMPLATE_NOTE_POINT_FHD,B57,MATCH(TEMPLATE_SPHERE,TEMPLATE_SPHERE_LIST_FOR_NOTE,0))</f>
        <v>Указываются изменение стоимости основных фондов за счет их вывода из эксплуатации.</v>
      </c>
      <c s="846" t="str">
        <f>IF(I57=0,"",I57)</f>
        <v>4.1.2</v>
      </c>
      <c s="846" t="str">
        <f>IF(J57=0,"",J57)</f>
        <v>Изменение стоимости основных фондов за счет их вывода в эксплуатацию</v>
      </c>
      <c s="846" t="str">
        <f>IF(K57=0,"",K57)</f>
        <v>Указываются изменение стоимости основных фондов за счет их вывода из эксплуатации.</v>
      </c>
      <c s="959" t="s">
        <v>2146</v>
      </c>
      <c s="959" t="s">
        <v>760</v>
      </c>
      <c s="959" t="s">
        <v>760</v>
      </c>
      <c s="959" t="s">
        <v>760</v>
      </c>
      <c s="959"/>
      <c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5" t="s">
        <v>2147</v>
      </c>
      <c s="845" t="s">
        <v>2147</v>
      </c>
      <c s="845" t="s">
        <v>2147</v>
      </c>
      <c s="845"/>
      <c s="1002"/>
      <c s="848" t="s">
        <v>762</v>
      </c>
      <c s="848" t="s">
        <v>762</v>
      </c>
      <c s="848" t="s">
        <v>762</v>
      </c>
      <c s="848" t="s">
        <v>762</v>
      </c>
      <c s="848"/>
    </row>
    <row r="58" spans="1:30" ht="18" customHeight="1">
      <c r="A58" s="847"/>
      <c s="901">
        <v>41</v>
      </c>
      <c s="845">
        <v>2</v>
      </c>
      <c s="969"/>
      <c s="845"/>
      <c s="845"/>
      <c s="845"/>
      <c s="893"/>
      <c s="1007" t="str">
        <f>INDEX(TEMPLATE_NUMBER_POINT_FHD,B58,MATCH(TEMPLATE_SPHERE,TEMPLATE_SPHERE_LIST_FOR_NOTE,0))</f>
        <v>4.2</v>
      </c>
      <c s="1007" t="str">
        <f>INDEX(TEMPLATE_DATA_POINT_FHD,B58,MATCH(TEMPLATE_SPHERE,TEMPLATE_SPHERE_LIST_FOR_NOTE,0))</f>
        <v>Изменение стоимости основных фондов за счет их переоценки</v>
      </c>
      <c s="1007">
        <f>INDEX(TEMPLATE_NOTE_POINT_FHD,B58,MATCH(TEMPLATE_SPHERE,TEMPLATE_SPHERE_LIST_FOR_NOTE,0))</f>
        <v>0</v>
      </c>
      <c s="846" t="str">
        <f>IF(I58=0,"",I58)</f>
        <v>4.2</v>
      </c>
      <c s="846" t="str">
        <f>IF(J58=0,"",J58)</f>
        <v>Изменение стоимости основных фондов за счет их переоценки</v>
      </c>
      <c s="846" t="str">
        <f>IF(K58=0,"",K58)</f>
        <v/>
      </c>
      <c s="959" t="s">
        <v>882</v>
      </c>
      <c s="959" t="s">
        <v>796</v>
      </c>
      <c s="959" t="s">
        <v>796</v>
      </c>
      <c s="959" t="s">
        <v>796</v>
      </c>
      <c s="959"/>
      <c s="846" t="str">
        <f>IF(TITLE_TYPE_ORG="Регулируемая организация","Изменение стоимости основных фондов за счет их переоценки","за счет их переоценки")</f>
        <v>за счет их переоценки</v>
      </c>
      <c s="845" t="s">
        <v>2148</v>
      </c>
      <c s="845" t="s">
        <v>2148</v>
      </c>
      <c s="845" t="s">
        <v>2148</v>
      </c>
      <c s="845"/>
      <c s="1002"/>
      <c s="848"/>
      <c s="851"/>
      <c s="848"/>
      <c s="848"/>
      <c s="848"/>
    </row>
    <row r="59" spans="1:30" ht="36" customHeight="1">
      <c r="A59" s="847"/>
      <c s="901">
        <v>42</v>
      </c>
      <c s="845">
        <v>3</v>
      </c>
      <c s="969" t="s">
        <v>2136</v>
      </c>
      <c s="845" t="s">
        <v>2136</v>
      </c>
      <c s="845" t="s">
        <v>2136</v>
      </c>
      <c s="845"/>
      <c s="893"/>
      <c s="1007" t="str">
        <f>INDEX(TEMPLATE_NUMBER_POINT_FHD,B59,MATCH(TEMPLATE_SPHERE,TEMPLATE_SPHERE_LIST_FOR_NOTE,0))</f>
        <v>5</v>
      </c>
      <c s="1007"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s="1007">
        <f>INDEX(TEMPLATE_NOTE_POINT_FHD,B59,MATCH(TEMPLATE_SPHERE,TEMPLATE_SPHERE_LIST_FOR_NOTE,0))</f>
        <v>0</v>
      </c>
      <c s="846" t="str">
        <f>IF(I59=0,"",I59)</f>
        <v>5</v>
      </c>
      <c s="846" t="str">
        <f>IF(J59=0,"",J59)</f>
        <v>Валовая прибыль (убытки) от продажи товаров и услуг по регулируемым видам деятельности в сфере водоотведения</v>
      </c>
      <c s="846" t="str">
        <f>IF(K59=0,"",K59)</f>
        <v/>
      </c>
      <c s="959"/>
      <c s="959" t="s">
        <v>111</v>
      </c>
      <c s="959" t="s">
        <v>111</v>
      </c>
      <c s="959" t="s">
        <v>111</v>
      </c>
      <c s="959"/>
      <c s="845"/>
      <c s="845" t="s">
        <v>2149</v>
      </c>
      <c s="845" t="s">
        <v>2150</v>
      </c>
      <c s="845" t="s">
        <v>2151</v>
      </c>
      <c s="845"/>
      <c s="1002"/>
      <c s="848"/>
      <c s="851"/>
      <c s="848"/>
      <c s="848"/>
      <c s="848"/>
    </row>
    <row r="60" spans="1:30" ht="81" customHeight="1">
      <c r="A60" s="847"/>
      <c s="901">
        <v>43</v>
      </c>
      <c s="845" t="s">
        <v>2152</v>
      </c>
      <c s="969" t="s">
        <v>2152</v>
      </c>
      <c s="845" t="s">
        <v>2152</v>
      </c>
      <c s="845" t="s">
        <v>2152</v>
      </c>
      <c s="845"/>
      <c s="893"/>
      <c s="1007" t="str">
        <f>INDEX(TEMPLATE_NUMBER_POINT_FHD,B60,MATCH(TEMPLATE_SPHERE,TEMPLATE_SPHERE_LIST_FOR_NOTE,0))</f>
        <v>6</v>
      </c>
      <c s="1007" t="str">
        <f>INDEX(TEMPLATE_DATA_POINT_FHD,B60,MATCH(TEMPLATE_SPHERE,TEMPLATE_SPHERE_LIST_FOR_NOTE,0))</f>
        <v>Годовая бухгалтерская (финансовая) отчетность, включая бухгалтерский баланс и приложения к нему</v>
      </c>
      <c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6" t="str">
        <f>IF(I60=0,"",I60)</f>
        <v>6</v>
      </c>
      <c s="846" t="str">
        <f>IF(J60=0,"",J60)</f>
        <v>Годовая бухгалтерская (финансовая) отчетность, включая бухгалтерский баланс и приложения к нему</v>
      </c>
      <c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9" t="s">
        <v>91</v>
      </c>
      <c s="959" t="s">
        <v>91</v>
      </c>
      <c s="959" t="s">
        <v>91</v>
      </c>
      <c s="959" t="s">
        <v>91</v>
      </c>
      <c s="959"/>
      <c s="845" t="s">
        <v>629</v>
      </c>
      <c s="845" t="s">
        <v>629</v>
      </c>
      <c s="845" t="s">
        <v>629</v>
      </c>
      <c s="845" t="s">
        <v>629</v>
      </c>
      <c s="845"/>
      <c s="1002"/>
      <c s="848" t="s">
        <v>2153</v>
      </c>
      <c s="851" t="s">
        <v>2154</v>
      </c>
      <c s="848" t="s">
        <v>2155</v>
      </c>
      <c s="848" t="s">
        <v>2154</v>
      </c>
      <c s="848"/>
    </row>
    <row r="61" spans="1:30" ht="9" customHeight="1">
      <c r="A61" s="847"/>
      <c s="901">
        <v>44</v>
      </c>
      <c s="845"/>
      <c s="969" t="s">
        <v>2156</v>
      </c>
      <c s="845"/>
      <c s="845"/>
      <c s="845"/>
      <c s="893"/>
      <c s="1007">
        <f>INDEX(TEMPLATE_NUMBER_POINT_FHD,B61,MATCH(TEMPLATE_SPHERE,TEMPLATE_SPHERE_LIST_FOR_NOTE,0))</f>
        <v>0</v>
      </c>
      <c s="1007">
        <f>INDEX(TEMPLATE_DATA_POINT_FHD,B61,MATCH(TEMPLATE_SPHERE,TEMPLATE_SPHERE_LIST_FOR_NOTE,0))</f>
        <v>0</v>
      </c>
      <c s="1007">
        <f>INDEX(TEMPLATE_NOTE_POINT_FHD,B61,MATCH(TEMPLATE_SPHERE,TEMPLATE_SPHERE_LIST_FOR_NOTE,0))</f>
        <v>0</v>
      </c>
      <c s="846" t="str">
        <f>IF(I61=0,"",I61)</f>
        <v/>
      </c>
      <c s="846" t="str">
        <f>IF(J61=0,"",J61)</f>
        <v/>
      </c>
      <c s="846" t="str">
        <f>IF(K61=0,"",K61)</f>
        <v/>
      </c>
      <c s="959"/>
      <c s="959" t="s">
        <v>92</v>
      </c>
      <c s="959"/>
      <c s="959"/>
      <c s="959"/>
      <c s="845"/>
      <c s="845" t="s">
        <v>2157</v>
      </c>
      <c s="845"/>
      <c s="845"/>
      <c s="845"/>
      <c s="1002"/>
      <c s="848"/>
      <c s="851"/>
      <c s="848"/>
      <c s="848"/>
      <c s="848"/>
    </row>
    <row r="62" spans="1:30" ht="9" customHeight="1">
      <c r="A62" s="847"/>
      <c s="901">
        <v>45</v>
      </c>
      <c s="845"/>
      <c s="969" t="s">
        <v>2158</v>
      </c>
      <c s="845"/>
      <c s="845"/>
      <c s="845"/>
      <c s="893"/>
      <c s="1007">
        <f>INDEX(TEMPLATE_NUMBER_POINT_FHD,B62,MATCH(TEMPLATE_SPHERE,TEMPLATE_SPHERE_LIST_FOR_NOTE,0))</f>
        <v>0</v>
      </c>
      <c s="1007">
        <f>INDEX(TEMPLATE_DATA_POINT_FHD,B62,MATCH(TEMPLATE_SPHERE,TEMPLATE_SPHERE_LIST_FOR_NOTE,0))</f>
        <v>0</v>
      </c>
      <c s="1007">
        <f>INDEX(TEMPLATE_NOTE_POINT_FHD,B62,MATCH(TEMPLATE_SPHERE,TEMPLATE_SPHERE_LIST_FOR_NOTE,0))</f>
        <v>0</v>
      </c>
      <c s="846" t="str">
        <f>IF(I62=0,"",I62)</f>
        <v/>
      </c>
      <c s="846" t="str">
        <f>IF(J62=0,"",J62)</f>
        <v/>
      </c>
      <c s="846" t="str">
        <f>IF(K62=0,"",K62)</f>
        <v/>
      </c>
      <c s="959"/>
      <c s="959" t="s">
        <v>112</v>
      </c>
      <c s="959"/>
      <c s="959"/>
      <c s="959"/>
      <c s="845"/>
      <c s="845" t="s">
        <v>2159</v>
      </c>
      <c s="845"/>
      <c s="845"/>
      <c s="845"/>
      <c s="1002"/>
      <c s="848"/>
      <c s="851"/>
      <c s="848"/>
      <c s="848"/>
      <c s="848"/>
    </row>
    <row r="63" spans="1:30" ht="18" customHeight="1">
      <c r="A63" s="847"/>
      <c s="901">
        <v>46</v>
      </c>
      <c s="845"/>
      <c s="969" t="s">
        <v>2160</v>
      </c>
      <c s="845"/>
      <c s="845"/>
      <c s="845"/>
      <c s="893"/>
      <c s="1007">
        <f>INDEX(TEMPLATE_NUMBER_POINT_FHD,B63,MATCH(TEMPLATE_SPHERE,TEMPLATE_SPHERE_LIST_FOR_NOTE,0))</f>
        <v>0</v>
      </c>
      <c s="1007">
        <f>INDEX(TEMPLATE_DATA_POINT_FHD,B63,MATCH(TEMPLATE_SPHERE,TEMPLATE_SPHERE_LIST_FOR_NOTE,0))</f>
        <v>0</v>
      </c>
      <c s="1007">
        <f>INDEX(TEMPLATE_NOTE_POINT_FHD,B63,MATCH(TEMPLATE_SPHERE,TEMPLATE_SPHERE_LIST_FOR_NOTE,0))</f>
        <v>0</v>
      </c>
      <c s="846" t="str">
        <f>IF(I63=0,"",I63)</f>
        <v/>
      </c>
      <c s="846" t="str">
        <f>IF(J63=0,"",J63)</f>
        <v/>
      </c>
      <c s="846" t="str">
        <f>IF(K63=0,"",K63)</f>
        <v/>
      </c>
      <c s="959"/>
      <c s="959" t="s">
        <v>150</v>
      </c>
      <c s="959"/>
      <c s="959"/>
      <c s="959"/>
      <c s="845"/>
      <c s="845" t="s">
        <v>2161</v>
      </c>
      <c s="845"/>
      <c s="845"/>
      <c s="845"/>
      <c s="1002"/>
      <c s="848"/>
      <c s="851"/>
      <c s="848"/>
      <c s="848"/>
      <c s="848"/>
    </row>
    <row r="64" spans="1:30" ht="18" customHeight="1">
      <c r="A64" s="847"/>
      <c s="901">
        <v>47</v>
      </c>
      <c s="845"/>
      <c s="969" t="s">
        <v>2162</v>
      </c>
      <c s="845"/>
      <c s="845"/>
      <c s="845"/>
      <c s="893"/>
      <c s="1007">
        <f>INDEX(TEMPLATE_NUMBER_POINT_FHD,B64,MATCH(TEMPLATE_SPHERE,TEMPLATE_SPHERE_LIST_FOR_NOTE,0))</f>
        <v>0</v>
      </c>
      <c s="1007">
        <f>INDEX(TEMPLATE_DATA_POINT_FHD,B64,MATCH(TEMPLATE_SPHERE,TEMPLATE_SPHERE_LIST_FOR_NOTE,0))</f>
        <v>0</v>
      </c>
      <c s="1007">
        <f>INDEX(TEMPLATE_NOTE_POINT_FHD,B64,MATCH(TEMPLATE_SPHERE,TEMPLATE_SPHERE_LIST_FOR_NOTE,0))</f>
        <v>0</v>
      </c>
      <c s="846" t="str">
        <f>IF(I64=0,"",I64)</f>
        <v/>
      </c>
      <c s="846" t="str">
        <f>IF(J64=0,"",J64)</f>
        <v/>
      </c>
      <c s="846" t="str">
        <f>IF(K64=0,"",K64)</f>
        <v/>
      </c>
      <c s="959"/>
      <c s="959" t="s">
        <v>151</v>
      </c>
      <c s="959"/>
      <c s="959"/>
      <c s="959"/>
      <c s="845"/>
      <c s="845" t="s">
        <v>2163</v>
      </c>
      <c s="845"/>
      <c s="845"/>
      <c s="845"/>
      <c s="1002"/>
      <c s="848"/>
      <c s="851" t="s">
        <v>2164</v>
      </c>
      <c s="848"/>
      <c s="848"/>
      <c s="848"/>
    </row>
    <row r="65" spans="1:30" ht="18" customHeight="1">
      <c r="A65" s="847"/>
      <c s="901">
        <v>48</v>
      </c>
      <c s="845"/>
      <c s="969"/>
      <c s="845"/>
      <c s="845"/>
      <c s="845"/>
      <c s="893"/>
      <c s="1007">
        <f>INDEX(TEMPLATE_NUMBER_POINT_FHD,B65,MATCH(TEMPLATE_SPHERE,TEMPLATE_SPHERE_LIST_FOR_NOTE,0))</f>
        <v>0</v>
      </c>
      <c s="1007">
        <f>INDEX(TEMPLATE_DATA_POINT_FHD,B65,MATCH(TEMPLATE_SPHERE,TEMPLATE_SPHERE_LIST_FOR_NOTE,0))</f>
        <v>0</v>
      </c>
      <c s="1007">
        <f>INDEX(TEMPLATE_NOTE_POINT_FHD,B65,MATCH(TEMPLATE_SPHERE,TEMPLATE_SPHERE_LIST_FOR_NOTE,0))</f>
        <v>0</v>
      </c>
      <c s="846" t="str">
        <f>IF(I65=0,"",I65)</f>
        <v/>
      </c>
      <c s="846" t="str">
        <f>IF(J65=0,"",J65)</f>
        <v/>
      </c>
      <c s="846" t="str">
        <f>IF(K65=0,"",K65)</f>
        <v/>
      </c>
      <c s="959"/>
      <c s="959" t="s">
        <v>2077</v>
      </c>
      <c s="959"/>
      <c s="959"/>
      <c s="959"/>
      <c s="845"/>
      <c s="845" t="s">
        <v>2165</v>
      </c>
      <c s="845"/>
      <c s="845"/>
      <c s="845"/>
      <c s="1002"/>
      <c s="848"/>
      <c s="851"/>
      <c s="848"/>
      <c s="848"/>
      <c s="848"/>
    </row>
    <row r="66" spans="1:30" ht="18" customHeight="1">
      <c r="A66" s="847"/>
      <c s="901">
        <v>49</v>
      </c>
      <c s="845"/>
      <c s="969"/>
      <c s="845"/>
      <c s="845"/>
      <c s="845"/>
      <c s="893"/>
      <c s="1007">
        <f>INDEX(TEMPLATE_NUMBER_POINT_FHD,B66,MATCH(TEMPLATE_SPHERE,TEMPLATE_SPHERE_LIST_FOR_NOTE,0))</f>
        <v>0</v>
      </c>
      <c s="1007">
        <f>INDEX(TEMPLATE_DATA_POINT_FHD,B66,MATCH(TEMPLATE_SPHERE,TEMPLATE_SPHERE_LIST_FOR_NOTE,0))</f>
        <v>0</v>
      </c>
      <c s="1007">
        <f>INDEX(TEMPLATE_NOTE_POINT_FHD,B66,MATCH(TEMPLATE_SPHERE,TEMPLATE_SPHERE_LIST_FOR_NOTE,0))</f>
        <v>0</v>
      </c>
      <c s="846" t="str">
        <f>IF(I66=0,"",I66)</f>
        <v/>
      </c>
      <c s="846" t="str">
        <f>IF(J66=0,"",J66)</f>
        <v/>
      </c>
      <c s="846" t="str">
        <f>IF(K66=0,"",K66)</f>
        <v/>
      </c>
      <c s="959"/>
      <c s="959" t="s">
        <v>2081</v>
      </c>
      <c s="959"/>
      <c s="959"/>
      <c s="959"/>
      <c s="845"/>
      <c s="845" t="s">
        <v>2166</v>
      </c>
      <c s="845"/>
      <c s="845"/>
      <c s="845"/>
      <c s="1002"/>
      <c s="848"/>
      <c s="851"/>
      <c s="848"/>
      <c s="848"/>
      <c s="848"/>
    </row>
    <row r="67" spans="1:30" ht="27" customHeight="1">
      <c r="A67" s="847"/>
      <c s="901">
        <v>50</v>
      </c>
      <c s="845"/>
      <c s="969"/>
      <c s="845"/>
      <c s="845"/>
      <c s="845"/>
      <c s="893"/>
      <c s="1007">
        <f>INDEX(TEMPLATE_NUMBER_POINT_FHD,B67,MATCH(TEMPLATE_SPHERE,TEMPLATE_SPHERE_LIST_FOR_NOTE,0))</f>
        <v>0</v>
      </c>
      <c s="1007">
        <f>INDEX(TEMPLATE_DATA_POINT_FHD,B67,MATCH(TEMPLATE_SPHERE,TEMPLATE_SPHERE_LIST_FOR_NOTE,0))</f>
        <v>0</v>
      </c>
      <c s="1007">
        <f>INDEX(TEMPLATE_NOTE_POINT_FHD,B67,MATCH(TEMPLATE_SPHERE,TEMPLATE_SPHERE_LIST_FOR_NOTE,0))</f>
        <v>0</v>
      </c>
      <c s="846" t="str">
        <f>IF(I67=0,"",I67)</f>
        <v/>
      </c>
      <c s="846" t="str">
        <f>IF(J67=0,"",J67)</f>
        <v/>
      </c>
      <c s="846" t="str">
        <f>IF(K67=0,"",K67)</f>
        <v/>
      </c>
      <c s="959"/>
      <c s="959" t="s">
        <v>2167</v>
      </c>
      <c s="959"/>
      <c s="959"/>
      <c s="959"/>
      <c s="845"/>
      <c s="845" t="s">
        <v>2168</v>
      </c>
      <c s="845"/>
      <c s="845"/>
      <c s="845"/>
      <c s="1002"/>
      <c s="848"/>
      <c s="851"/>
      <c s="848"/>
      <c s="848"/>
      <c s="848"/>
    </row>
    <row r="68" spans="1:30" ht="27" customHeight="1">
      <c r="A68" s="847"/>
      <c s="901">
        <v>51</v>
      </c>
      <c s="845"/>
      <c s="969"/>
      <c s="845"/>
      <c s="845"/>
      <c s="845"/>
      <c s="893"/>
      <c s="1007">
        <f>INDEX(TEMPLATE_NUMBER_POINT_FHD,B68,MATCH(TEMPLATE_SPHERE,TEMPLATE_SPHERE_LIST_FOR_NOTE,0))</f>
        <v>0</v>
      </c>
      <c s="1007">
        <f>INDEX(TEMPLATE_DATA_POINT_FHD,B68,MATCH(TEMPLATE_SPHERE,TEMPLATE_SPHERE_LIST_FOR_NOTE,0))</f>
        <v>0</v>
      </c>
      <c s="1007">
        <f>INDEX(TEMPLATE_NOTE_POINT_FHD,B68,MATCH(TEMPLATE_SPHERE,TEMPLATE_SPHERE_LIST_FOR_NOTE,0))</f>
        <v>0</v>
      </c>
      <c s="846" t="str">
        <f>IF(I68=0,"",I68)</f>
        <v/>
      </c>
      <c s="846" t="str">
        <f>IF(J68=0,"",J68)</f>
        <v/>
      </c>
      <c s="846" t="str">
        <f>IF(K68=0,"",K68)</f>
        <v/>
      </c>
      <c s="959"/>
      <c s="959" t="s">
        <v>2169</v>
      </c>
      <c s="959"/>
      <c s="959"/>
      <c s="959"/>
      <c s="845"/>
      <c s="845" t="s">
        <v>2170</v>
      </c>
      <c s="845"/>
      <c s="845"/>
      <c s="845"/>
      <c s="1002"/>
      <c s="848"/>
      <c s="851"/>
      <c s="848"/>
      <c s="848"/>
      <c s="848"/>
    </row>
    <row r="69" spans="1:30" ht="9" customHeight="1">
      <c r="A69" s="847"/>
      <c s="901">
        <v>52</v>
      </c>
      <c s="845"/>
      <c s="969" t="s">
        <v>2171</v>
      </c>
      <c s="845"/>
      <c s="845"/>
      <c s="845"/>
      <c s="893"/>
      <c s="1007">
        <f>INDEX(TEMPLATE_NUMBER_POINT_FHD,B69,MATCH(TEMPLATE_SPHERE,TEMPLATE_SPHERE_LIST_FOR_NOTE,0))</f>
        <v>0</v>
      </c>
      <c s="1007">
        <f>INDEX(TEMPLATE_DATA_POINT_FHD,B69,MATCH(TEMPLATE_SPHERE,TEMPLATE_SPHERE_LIST_FOR_NOTE,0))</f>
        <v>0</v>
      </c>
      <c s="1007">
        <f>INDEX(TEMPLATE_NOTE_POINT_FHD,B69,MATCH(TEMPLATE_SPHERE,TEMPLATE_SPHERE_LIST_FOR_NOTE,0))</f>
        <v>0</v>
      </c>
      <c s="846" t="str">
        <f>IF(I69=0,"",I69)</f>
        <v/>
      </c>
      <c s="846" t="str">
        <f>IF(J69=0,"",J69)</f>
        <v/>
      </c>
      <c s="846" t="str">
        <f>IF(K69=0,"",K69)</f>
        <v/>
      </c>
      <c s="959"/>
      <c s="959" t="s">
        <v>152</v>
      </c>
      <c s="959"/>
      <c s="959"/>
      <c s="959"/>
      <c s="845"/>
      <c s="845" t="s">
        <v>2172</v>
      </c>
      <c s="845"/>
      <c s="845"/>
      <c s="845"/>
      <c s="1002"/>
      <c s="848"/>
      <c s="851"/>
      <c s="848"/>
      <c s="848"/>
      <c s="848"/>
    </row>
    <row r="70" spans="1:30" ht="27" customHeight="1">
      <c r="A70" s="847"/>
      <c s="901">
        <v>53</v>
      </c>
      <c s="845"/>
      <c s="969"/>
      <c s="845" t="s">
        <v>2156</v>
      </c>
      <c s="845"/>
      <c s="845"/>
      <c s="893"/>
      <c s="1007">
        <f>INDEX(TEMPLATE_NUMBER_POINT_FHD,B70,MATCH(TEMPLATE_SPHERE,TEMPLATE_SPHERE_LIST_FOR_NOTE,0))</f>
        <v>0</v>
      </c>
      <c s="1007">
        <f>INDEX(TEMPLATE_DATA_POINT_FHD,B70,MATCH(TEMPLATE_SPHERE,TEMPLATE_SPHERE_LIST_FOR_NOTE,0))</f>
        <v>0</v>
      </c>
      <c s="1007">
        <f>INDEX(TEMPLATE_NOTE_POINT_FHD,B70,MATCH(TEMPLATE_SPHERE,TEMPLATE_SPHERE_LIST_FOR_NOTE,0))</f>
        <v>0</v>
      </c>
      <c s="846" t="str">
        <f>IF(I70=0,"",I70)</f>
        <v/>
      </c>
      <c s="846" t="str">
        <f>IF(J70=0,"",J70)</f>
        <v/>
      </c>
      <c s="846" t="str">
        <f>IF(K70=0,"",K70)</f>
        <v/>
      </c>
      <c s="959"/>
      <c s="959"/>
      <c s="959" t="s">
        <v>92</v>
      </c>
      <c s="959"/>
      <c s="959"/>
      <c s="845"/>
      <c s="845"/>
      <c s="845" t="s">
        <v>2173</v>
      </c>
      <c s="845"/>
      <c s="845"/>
      <c s="1002"/>
      <c s="848"/>
      <c s="851"/>
      <c s="848"/>
      <c s="848"/>
      <c s="848"/>
    </row>
    <row r="71" spans="1:30" ht="36" customHeight="1">
      <c r="A71" s="847"/>
      <c s="901">
        <v>54</v>
      </c>
      <c s="845"/>
      <c s="969"/>
      <c s="845" t="s">
        <v>2158</v>
      </c>
      <c s="845"/>
      <c s="845"/>
      <c s="893"/>
      <c s="1007">
        <f>INDEX(TEMPLATE_NUMBER_POINT_FHD,B71,MATCH(TEMPLATE_SPHERE,TEMPLATE_SPHERE_LIST_FOR_NOTE,0))</f>
        <v>0</v>
      </c>
      <c s="1007">
        <f>INDEX(TEMPLATE_DATA_POINT_FHD,B71,MATCH(TEMPLATE_SPHERE,TEMPLATE_SPHERE_LIST_FOR_NOTE,0))</f>
        <v>0</v>
      </c>
      <c s="1007">
        <f>INDEX(TEMPLATE_NOTE_POINT_FHD,B71,MATCH(TEMPLATE_SPHERE,TEMPLATE_SPHERE_LIST_FOR_NOTE,0))</f>
        <v>0</v>
      </c>
      <c s="846" t="str">
        <f>IF(I71=0,"",I71)</f>
        <v/>
      </c>
      <c s="846" t="str">
        <f>IF(J71=0,"",J71)</f>
        <v/>
      </c>
      <c s="846" t="str">
        <f>IF(K71=0,"",K71)</f>
        <v/>
      </c>
      <c s="959"/>
      <c s="959"/>
      <c s="959" t="s">
        <v>112</v>
      </c>
      <c s="959"/>
      <c s="959"/>
      <c s="845"/>
      <c s="845"/>
      <c s="845" t="s">
        <v>2174</v>
      </c>
      <c s="845"/>
      <c s="845"/>
      <c s="1002"/>
      <c s="848"/>
      <c s="851"/>
      <c s="848"/>
      <c s="848"/>
      <c s="848"/>
    </row>
    <row r="72" spans="1:30" ht="27" customHeight="1">
      <c r="A72" s="847"/>
      <c s="901">
        <v>55</v>
      </c>
      <c s="845"/>
      <c s="969"/>
      <c s="845" t="s">
        <v>2160</v>
      </c>
      <c s="845"/>
      <c s="845"/>
      <c s="893"/>
      <c s="1007">
        <f>INDEX(TEMPLATE_NUMBER_POINT_FHD,B72,MATCH(TEMPLATE_SPHERE,TEMPLATE_SPHERE_LIST_FOR_NOTE,0))</f>
        <v>0</v>
      </c>
      <c s="1007">
        <f>INDEX(TEMPLATE_DATA_POINT_FHD,B72,MATCH(TEMPLATE_SPHERE,TEMPLATE_SPHERE_LIST_FOR_NOTE,0))</f>
        <v>0</v>
      </c>
      <c s="1007">
        <f>INDEX(TEMPLATE_NOTE_POINT_FHD,B72,MATCH(TEMPLATE_SPHERE,TEMPLATE_SPHERE_LIST_FOR_NOTE,0))</f>
        <v>0</v>
      </c>
      <c s="846" t="str">
        <f>IF(I72=0,"",I72)</f>
        <v/>
      </c>
      <c s="846" t="str">
        <f>IF(J72=0,"",J72)</f>
        <v/>
      </c>
      <c s="846" t="str">
        <f>IF(K72=0,"",K72)</f>
        <v/>
      </c>
      <c s="959"/>
      <c s="959"/>
      <c s="959" t="s">
        <v>150</v>
      </c>
      <c s="959"/>
      <c s="959"/>
      <c s="845"/>
      <c s="845"/>
      <c s="845" t="s">
        <v>2175</v>
      </c>
      <c s="845"/>
      <c s="845"/>
      <c s="1002"/>
      <c s="848"/>
      <c s="851"/>
      <c s="848"/>
      <c s="848"/>
      <c s="848"/>
    </row>
    <row r="73" spans="1:30" ht="36" customHeight="1">
      <c r="A73" s="847"/>
      <c s="901">
        <v>56</v>
      </c>
      <c s="845"/>
      <c s="969"/>
      <c s="845" t="s">
        <v>2162</v>
      </c>
      <c s="845"/>
      <c s="845"/>
      <c s="893"/>
      <c s="1007">
        <f>INDEX(TEMPLATE_NUMBER_POINT_FHD,B73,MATCH(TEMPLATE_SPHERE,TEMPLATE_SPHERE_LIST_FOR_NOTE,0))</f>
        <v>0</v>
      </c>
      <c s="1007">
        <f>INDEX(TEMPLATE_DATA_POINT_FHD,B73,MATCH(TEMPLATE_SPHERE,TEMPLATE_SPHERE_LIST_FOR_NOTE,0))</f>
        <v>0</v>
      </c>
      <c s="1007">
        <f>INDEX(TEMPLATE_NOTE_POINT_FHD,B73,MATCH(TEMPLATE_SPHERE,TEMPLATE_SPHERE_LIST_FOR_NOTE,0))</f>
        <v>0</v>
      </c>
      <c s="846" t="str">
        <f>IF(I73=0,"",I73)</f>
        <v/>
      </c>
      <c s="846" t="str">
        <f>IF(J73=0,"",J73)</f>
        <v/>
      </c>
      <c s="846" t="str">
        <f>IF(K73=0,"",K73)</f>
        <v/>
      </c>
      <c s="959"/>
      <c s="959"/>
      <c s="959" t="s">
        <v>151</v>
      </c>
      <c s="959"/>
      <c s="959"/>
      <c s="845"/>
      <c s="845"/>
      <c s="845" t="s">
        <v>2176</v>
      </c>
      <c s="845"/>
      <c s="845"/>
      <c s="1002"/>
      <c s="848"/>
      <c s="851"/>
      <c s="848"/>
      <c s="848"/>
      <c s="848"/>
    </row>
    <row r="74" spans="1:30" ht="18" customHeight="1">
      <c r="A74" s="847"/>
      <c s="901">
        <v>57</v>
      </c>
      <c s="845"/>
      <c s="969"/>
      <c s="845" t="s">
        <v>2171</v>
      </c>
      <c s="845"/>
      <c s="845"/>
      <c s="893"/>
      <c s="1007">
        <f>INDEX(TEMPLATE_NUMBER_POINT_FHD,B74,MATCH(TEMPLATE_SPHERE,TEMPLATE_SPHERE_LIST_FOR_NOTE,0))</f>
        <v>0</v>
      </c>
      <c s="1007">
        <f>INDEX(TEMPLATE_DATA_POINT_FHD,B74,MATCH(TEMPLATE_SPHERE,TEMPLATE_SPHERE_LIST_FOR_NOTE,0))</f>
        <v>0</v>
      </c>
      <c s="1007">
        <f>INDEX(TEMPLATE_NOTE_POINT_FHD,B74,MATCH(TEMPLATE_SPHERE,TEMPLATE_SPHERE_LIST_FOR_NOTE,0))</f>
        <v>0</v>
      </c>
      <c s="846" t="str">
        <f>IF(I74=0,"",I74)</f>
        <v/>
      </c>
      <c s="846" t="str">
        <f>IF(J74=0,"",J74)</f>
        <v/>
      </c>
      <c s="846" t="str">
        <f>IF(K74=0,"",K74)</f>
        <v/>
      </c>
      <c s="959"/>
      <c s="959"/>
      <c s="959" t="s">
        <v>152</v>
      </c>
      <c s="959"/>
      <c s="959"/>
      <c s="845"/>
      <c s="845"/>
      <c s="845" t="s">
        <v>2177</v>
      </c>
      <c s="845"/>
      <c s="845"/>
      <c s="1002"/>
      <c s="848"/>
      <c s="851"/>
      <c s="848"/>
      <c s="848"/>
      <c s="848"/>
    </row>
    <row r="75" spans="1:30" ht="18" customHeight="1">
      <c r="A75" s="847"/>
      <c s="901">
        <v>58</v>
      </c>
      <c s="845"/>
      <c s="969"/>
      <c s="845"/>
      <c s="845" t="s">
        <v>2156</v>
      </c>
      <c s="845"/>
      <c s="893"/>
      <c s="1007" t="str">
        <f>INDEX(TEMPLATE_NUMBER_POINT_FHD,B75,MATCH(TEMPLATE_SPHERE,TEMPLATE_SPHERE_LIST_FOR_NOTE,0))</f>
        <v>7</v>
      </c>
      <c s="1007" t="str">
        <f>INDEX(TEMPLATE_DATA_POINT_FHD,B75,MATCH(TEMPLATE_SPHERE,TEMPLATE_SPHERE_LIST_FOR_NOTE,0))</f>
        <v>Объём сточных вод, принятых от потребителей</v>
      </c>
      <c s="1007">
        <f>INDEX(TEMPLATE_NOTE_POINT_FHD,B75,MATCH(TEMPLATE_SPHERE,TEMPLATE_SPHERE_LIST_FOR_NOTE,0))</f>
        <v>0</v>
      </c>
      <c s="846" t="str">
        <f>IF(I75=0,"",I75)</f>
        <v>7</v>
      </c>
      <c s="846" t="str">
        <f>IF(J75=0,"",J75)</f>
        <v>Объём сточных вод, принятых от потребителей</v>
      </c>
      <c s="846" t="str">
        <f>IF(K75=0,"",K75)</f>
        <v/>
      </c>
      <c s="959"/>
      <c s="959"/>
      <c s="959"/>
      <c s="959" t="s">
        <v>92</v>
      </c>
      <c s="959"/>
      <c s="845"/>
      <c s="845"/>
      <c s="845"/>
      <c s="845" t="s">
        <v>2178</v>
      </c>
      <c s="845"/>
      <c s="1002"/>
      <c s="848"/>
      <c s="851"/>
      <c s="848"/>
      <c s="848"/>
      <c s="848"/>
    </row>
    <row r="76" spans="1:30" ht="36" customHeight="1">
      <c r="A76" s="847"/>
      <c s="901">
        <v>59</v>
      </c>
      <c s="845"/>
      <c s="969"/>
      <c s="845"/>
      <c s="845" t="s">
        <v>2158</v>
      </c>
      <c s="845"/>
      <c s="893"/>
      <c s="1007" t="str">
        <f>INDEX(TEMPLATE_NUMBER_POINT_FHD,B76,MATCH(TEMPLATE_SPHERE,TEMPLATE_SPHERE_LIST_FOR_NOTE,0))</f>
        <v>8</v>
      </c>
      <c s="1007"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s="1007">
        <f>INDEX(TEMPLATE_NOTE_POINT_FHD,B76,MATCH(TEMPLATE_SPHERE,TEMPLATE_SPHERE_LIST_FOR_NOTE,0))</f>
        <v>0</v>
      </c>
      <c s="846" t="str">
        <f>IF(I76=0,"",I76)</f>
        <v>8</v>
      </c>
      <c s="846" t="str">
        <f>IF(J76=0,"",J76)</f>
        <v>Объём сточных вод, принятых от других регулируемых организаций, осуществляющих водоотведение и (или) очистку сточных вод</v>
      </c>
      <c s="846" t="str">
        <f>IF(K76=0,"",K76)</f>
        <v/>
      </c>
      <c s="959"/>
      <c s="959"/>
      <c s="959"/>
      <c s="959" t="s">
        <v>112</v>
      </c>
      <c s="959"/>
      <c s="845"/>
      <c s="845"/>
      <c s="845"/>
      <c s="845" t="s">
        <v>2179</v>
      </c>
      <c s="845"/>
      <c s="1002"/>
      <c s="848"/>
      <c s="851"/>
      <c s="848"/>
      <c s="848"/>
      <c s="848"/>
    </row>
    <row r="77" spans="1:30" ht="18" customHeight="1">
      <c r="A77" s="847"/>
      <c s="901">
        <v>60</v>
      </c>
      <c s="845"/>
      <c s="969"/>
      <c s="845"/>
      <c s="845" t="s">
        <v>2160</v>
      </c>
      <c s="845"/>
      <c s="893"/>
      <c s="1007" t="str">
        <f>INDEX(TEMPLATE_NUMBER_POINT_FHD,B77,MATCH(TEMPLATE_SPHERE,TEMPLATE_SPHERE_LIST_FOR_NOTE,0))</f>
        <v>9</v>
      </c>
      <c s="1007" t="str">
        <f>INDEX(TEMPLATE_DATA_POINT_FHD,B77,MATCH(TEMPLATE_SPHERE,TEMPLATE_SPHERE_LIST_FOR_NOTE,0))</f>
        <v>Объём сточных вод, пропущенных через очистные сооружения</v>
      </c>
      <c s="1007">
        <f>INDEX(TEMPLATE_NOTE_POINT_FHD,B77,MATCH(TEMPLATE_SPHERE,TEMPLATE_SPHERE_LIST_FOR_NOTE,0))</f>
        <v>0</v>
      </c>
      <c s="846" t="str">
        <f>IF(I77=0,"",I77)</f>
        <v>9</v>
      </c>
      <c s="846" t="str">
        <f>IF(J77=0,"",J77)</f>
        <v>Объём сточных вод, пропущенных через очистные сооружения</v>
      </c>
      <c s="846" t="str">
        <f>IF(K77=0,"",K77)</f>
        <v/>
      </c>
      <c s="959"/>
      <c s="959"/>
      <c s="959"/>
      <c s="959" t="s">
        <v>150</v>
      </c>
      <c s="959"/>
      <c s="845"/>
      <c s="845"/>
      <c s="845"/>
      <c s="845" t="s">
        <v>2180</v>
      </c>
      <c s="845"/>
      <c s="1002"/>
      <c s="848"/>
      <c s="851"/>
      <c s="848"/>
      <c s="848"/>
      <c s="848"/>
    </row>
    <row r="78" spans="1:30" ht="72" customHeight="1">
      <c r="A78" s="847"/>
      <c s="901">
        <v>61</v>
      </c>
      <c s="845" t="s">
        <v>2156</v>
      </c>
      <c s="969"/>
      <c s="845"/>
      <c s="845"/>
      <c s="845"/>
      <c s="893"/>
      <c s="1007">
        <f>INDEX(TEMPLATE_NUMBER_POINT_FHD,B78,MATCH(TEMPLATE_SPHERE,TEMPLATE_SPHERE_LIST_FOR_NOTE,0))</f>
        <v>0</v>
      </c>
      <c s="1007">
        <f>INDEX(TEMPLATE_DATA_POINT_FHD,B78,MATCH(TEMPLATE_SPHERE,TEMPLATE_SPHERE_LIST_FOR_NOTE,0))</f>
        <v>0</v>
      </c>
      <c s="1007">
        <f>INDEX(TEMPLATE_NOTE_POINT_FHD,B78,MATCH(TEMPLATE_SPHERE,TEMPLATE_SPHERE_LIST_FOR_NOTE,0))</f>
        <v>0</v>
      </c>
      <c s="846" t="str">
        <f>IF(I78=0,"",I78)</f>
        <v/>
      </c>
      <c s="846" t="str">
        <f>IF(J78=0,"",J78)</f>
        <v/>
      </c>
      <c s="846" t="str">
        <f>IF(K78=0,"",K78)</f>
        <v/>
      </c>
      <c s="959" t="s">
        <v>92</v>
      </c>
      <c s="959"/>
      <c s="959"/>
      <c s="959"/>
      <c s="959"/>
      <c s="845" t="s">
        <v>634</v>
      </c>
      <c s="845"/>
      <c s="845"/>
      <c s="845"/>
      <c s="845"/>
      <c s="1002"/>
      <c s="848" t="s">
        <v>2181</v>
      </c>
      <c s="851"/>
      <c s="848"/>
      <c s="848"/>
      <c s="848"/>
    </row>
    <row r="79" spans="1:30" ht="36" customHeight="1">
      <c r="A79" s="847"/>
      <c s="901">
        <v>62</v>
      </c>
      <c s="845" t="s">
        <v>2158</v>
      </c>
      <c s="969"/>
      <c s="845"/>
      <c s="845"/>
      <c s="845"/>
      <c s="893"/>
      <c s="1007">
        <f>INDEX(TEMPLATE_NUMBER_POINT_FHD,B79,MATCH(TEMPLATE_SPHERE,TEMPLATE_SPHERE_LIST_FOR_NOTE,0))</f>
        <v>0</v>
      </c>
      <c s="1007">
        <f>INDEX(TEMPLATE_DATA_POINT_FHD,B79,MATCH(TEMPLATE_SPHERE,TEMPLATE_SPHERE_LIST_FOR_NOTE,0))</f>
        <v>0</v>
      </c>
      <c s="1007">
        <f>INDEX(TEMPLATE_NOTE_POINT_FHD,B79,MATCH(TEMPLATE_SPHERE,TEMPLATE_SPHERE_LIST_FOR_NOTE,0))</f>
        <v>0</v>
      </c>
      <c s="846" t="str">
        <f>IF(I79=0,"",I79)</f>
        <v/>
      </c>
      <c s="846" t="str">
        <f>IF(J79=0,"",J79)</f>
        <v/>
      </c>
      <c s="846" t="str">
        <f>IF(K79=0,"",K79)</f>
        <v/>
      </c>
      <c s="959" t="s">
        <v>112</v>
      </c>
      <c s="959"/>
      <c s="959"/>
      <c s="959"/>
      <c s="959"/>
      <c s="845" t="s">
        <v>2182</v>
      </c>
      <c s="845"/>
      <c s="845"/>
      <c s="845"/>
      <c s="845"/>
      <c s="1002"/>
      <c s="848" t="s">
        <v>2183</v>
      </c>
      <c s="851"/>
      <c s="848"/>
      <c s="848"/>
      <c s="848"/>
    </row>
    <row r="80" spans="1:30" ht="45" customHeight="1">
      <c r="A80" s="847"/>
      <c s="901">
        <v>63</v>
      </c>
      <c s="845" t="s">
        <v>2160</v>
      </c>
      <c s="969"/>
      <c s="845"/>
      <c s="845"/>
      <c s="845"/>
      <c s="893"/>
      <c s="1007">
        <f>INDEX(TEMPLATE_NUMBER_POINT_FHD,B80,MATCH(TEMPLATE_SPHERE,TEMPLATE_SPHERE_LIST_FOR_NOTE,0))</f>
        <v>0</v>
      </c>
      <c s="1007">
        <f>INDEX(TEMPLATE_DATA_POINT_FHD,B80,MATCH(TEMPLATE_SPHERE,TEMPLATE_SPHERE_LIST_FOR_NOTE,0))</f>
        <v>0</v>
      </c>
      <c s="1007">
        <f>INDEX(TEMPLATE_NOTE_POINT_FHD,B80,MATCH(TEMPLATE_SPHERE,TEMPLATE_SPHERE_LIST_FOR_NOTE,0))</f>
        <v>0</v>
      </c>
      <c s="846" t="str">
        <f>IF(I80=0,"",I80)</f>
        <v/>
      </c>
      <c s="846" t="str">
        <f>IF(J80=0,"",J80)</f>
        <v/>
      </c>
      <c s="846" t="str">
        <f>IF(K80=0,"",K80)</f>
        <v/>
      </c>
      <c s="959" t="s">
        <v>150</v>
      </c>
      <c s="959"/>
      <c s="959"/>
      <c s="959"/>
      <c s="959"/>
      <c s="845" t="s">
        <v>2184</v>
      </c>
      <c s="845"/>
      <c s="845"/>
      <c s="845"/>
      <c s="845"/>
      <c s="1002"/>
      <c s="848" t="s">
        <v>2185</v>
      </c>
      <c s="851"/>
      <c s="848"/>
      <c s="848"/>
      <c s="848"/>
    </row>
    <row r="81" spans="1:30" ht="36" customHeight="1">
      <c r="A81" s="847"/>
      <c s="901">
        <v>64</v>
      </c>
      <c s="845" t="s">
        <v>2162</v>
      </c>
      <c s="969"/>
      <c s="845"/>
      <c s="845"/>
      <c s="845"/>
      <c s="893"/>
      <c s="1007">
        <f>INDEX(TEMPLATE_NUMBER_POINT_FHD,B81,MATCH(TEMPLATE_SPHERE,TEMPLATE_SPHERE_LIST_FOR_NOTE,0))</f>
        <v>0</v>
      </c>
      <c s="1007">
        <f>INDEX(TEMPLATE_DATA_POINT_FHD,B81,MATCH(TEMPLATE_SPHERE,TEMPLATE_SPHERE_LIST_FOR_NOTE,0))</f>
        <v>0</v>
      </c>
      <c s="1007">
        <f>INDEX(TEMPLATE_NOTE_POINT_FHD,B81,MATCH(TEMPLATE_SPHERE,TEMPLATE_SPHERE_LIST_FOR_NOTE,0))</f>
        <v>0</v>
      </c>
      <c s="846" t="str">
        <f>IF(I81=0,"",I81)</f>
        <v/>
      </c>
      <c s="846" t="str">
        <f>IF(J81=0,"",J81)</f>
        <v/>
      </c>
      <c s="846" t="str">
        <f>IF(K81=0,"",K81)</f>
        <v/>
      </c>
      <c s="959" t="s">
        <v>2068</v>
      </c>
      <c s="959"/>
      <c s="959"/>
      <c s="959"/>
      <c s="959"/>
      <c s="845" t="s">
        <v>2186</v>
      </c>
      <c s="845"/>
      <c s="845"/>
      <c s="845"/>
      <c s="845"/>
      <c s="1002"/>
      <c s="848" t="s">
        <v>2187</v>
      </c>
      <c s="851"/>
      <c s="848"/>
      <c s="848"/>
      <c s="848"/>
    </row>
    <row r="82" spans="1:30" ht="90" customHeight="1">
      <c r="A82" s="847"/>
      <c s="901">
        <v>65</v>
      </c>
      <c s="845" t="s">
        <v>2171</v>
      </c>
      <c s="969"/>
      <c s="845"/>
      <c s="845"/>
      <c s="845"/>
      <c s="893"/>
      <c s="1007">
        <f>INDEX(TEMPLATE_NUMBER_POINT_FHD,B82,MATCH(TEMPLATE_SPHERE,TEMPLATE_SPHERE_LIST_FOR_NOTE,0))</f>
        <v>0</v>
      </c>
      <c s="1007">
        <f>INDEX(TEMPLATE_DATA_POINT_FHD,B82,MATCH(TEMPLATE_SPHERE,TEMPLATE_SPHERE_LIST_FOR_NOTE,0))</f>
        <v>0</v>
      </c>
      <c s="1007">
        <f>INDEX(TEMPLATE_NOTE_POINT_FHD,B82,MATCH(TEMPLATE_SPHERE,TEMPLATE_SPHERE_LIST_FOR_NOTE,0))</f>
        <v>0</v>
      </c>
      <c s="846" t="str">
        <f>IF(I82=0,"",I82)</f>
        <v/>
      </c>
      <c s="846" t="str">
        <f>IF(J82=0,"",J82)</f>
        <v/>
      </c>
      <c s="846" t="str">
        <f>IF(K82=0,"",K82)</f>
        <v/>
      </c>
      <c s="959" t="s">
        <v>151</v>
      </c>
      <c s="959"/>
      <c s="959"/>
      <c s="959"/>
      <c s="959"/>
      <c s="845" t="s">
        <v>2188</v>
      </c>
      <c s="845"/>
      <c s="845"/>
      <c s="845"/>
      <c s="845"/>
      <c s="1002"/>
      <c s="848" t="s">
        <v>2189</v>
      </c>
      <c s="851"/>
      <c s="848"/>
      <c s="848"/>
      <c s="848"/>
    </row>
    <row r="83" spans="1:30" ht="9" customHeight="1">
      <c r="A83" s="847"/>
      <c s="901">
        <v>66</v>
      </c>
      <c s="845"/>
      <c s="969"/>
      <c s="845"/>
      <c s="845"/>
      <c s="845"/>
      <c s="893"/>
      <c s="1007">
        <f>INDEX(TEMPLATE_NUMBER_POINT_FHD,B83,MATCH(TEMPLATE_SPHERE,TEMPLATE_SPHERE_LIST_FOR_NOTE,0))</f>
        <v>0</v>
      </c>
      <c s="1007">
        <f>INDEX(TEMPLATE_DATA_POINT_FHD,B83,MATCH(TEMPLATE_SPHERE,TEMPLATE_SPHERE_LIST_FOR_NOTE,0))</f>
        <v>0</v>
      </c>
      <c s="1007">
        <f>INDEX(TEMPLATE_NOTE_POINT_FHD,B83,MATCH(TEMPLATE_SPHERE,TEMPLATE_SPHERE_LIST_FOR_NOTE,0))</f>
        <v>0</v>
      </c>
      <c s="846" t="str">
        <f>IF(I83=0,"",I83)</f>
        <v/>
      </c>
      <c s="846" t="str">
        <f>IF(J83=0,"",J83)</f>
        <v/>
      </c>
      <c s="846" t="str">
        <f>IF(K83=0,"",K83)</f>
        <v/>
      </c>
      <c s="959" t="s">
        <v>2077</v>
      </c>
      <c s="959"/>
      <c s="959"/>
      <c s="959"/>
      <c s="959"/>
      <c s="845" t="s">
        <v>2190</v>
      </c>
      <c s="845"/>
      <c s="845"/>
      <c s="845"/>
      <c s="845"/>
      <c s="1002"/>
      <c s="848"/>
      <c s="851"/>
      <c s="848"/>
      <c s="848"/>
      <c s="848"/>
    </row>
    <row r="84" spans="1:30" ht="54" customHeight="1">
      <c r="A84" s="847"/>
      <c s="901">
        <v>67</v>
      </c>
      <c s="845"/>
      <c s="969"/>
      <c s="845"/>
      <c s="845"/>
      <c s="845"/>
      <c s="893"/>
      <c s="1007">
        <f>INDEX(TEMPLATE_NUMBER_POINT_FHD,B84,MATCH(TEMPLATE_SPHERE,TEMPLATE_SPHERE_LIST_FOR_NOTE,0))</f>
        <v>0</v>
      </c>
      <c s="1007">
        <f>INDEX(TEMPLATE_DATA_POINT_FHD,B84,MATCH(TEMPLATE_SPHERE,TEMPLATE_SPHERE_LIST_FOR_NOTE,0))</f>
        <v>0</v>
      </c>
      <c s="1007">
        <f>INDEX(TEMPLATE_NOTE_POINT_FHD,B84,MATCH(TEMPLATE_SPHERE,TEMPLATE_SPHERE_LIST_FOR_NOTE,0))</f>
        <v>0</v>
      </c>
      <c s="846" t="str">
        <f>IF(I84=0,"",I84)</f>
        <v/>
      </c>
      <c s="846" t="str">
        <f>IF(J84=0,"",J84)</f>
        <v/>
      </c>
      <c s="846" t="str">
        <f>IF(K84=0,"",K84)</f>
        <v/>
      </c>
      <c s="959" t="s">
        <v>2191</v>
      </c>
      <c s="959"/>
      <c s="959"/>
      <c s="959"/>
      <c s="959"/>
      <c s="845" t="s">
        <v>2192</v>
      </c>
      <c s="845"/>
      <c s="845"/>
      <c s="845"/>
      <c s="845"/>
      <c s="1002"/>
      <c s="848"/>
      <c s="851"/>
      <c s="848"/>
      <c s="848"/>
      <c s="848"/>
    </row>
    <row r="85" spans="1:30" ht="9" customHeight="1">
      <c r="A85" s="847"/>
      <c s="901">
        <v>68</v>
      </c>
      <c s="845"/>
      <c s="969"/>
      <c s="845"/>
      <c s="845"/>
      <c s="845"/>
      <c s="893"/>
      <c s="1007">
        <f>INDEX(TEMPLATE_NUMBER_POINT_FHD,B85,MATCH(TEMPLATE_SPHERE,TEMPLATE_SPHERE_LIST_FOR_NOTE,0))</f>
        <v>0</v>
      </c>
      <c s="1007">
        <f>INDEX(TEMPLATE_DATA_POINT_FHD,B85,MATCH(TEMPLATE_SPHERE,TEMPLATE_SPHERE_LIST_FOR_NOTE,0))</f>
        <v>0</v>
      </c>
      <c s="1007">
        <f>INDEX(TEMPLATE_NOTE_POINT_FHD,B85,MATCH(TEMPLATE_SPHERE,TEMPLATE_SPHERE_LIST_FOR_NOTE,0))</f>
        <v>0</v>
      </c>
      <c s="846" t="str">
        <f>IF(I85=0,"",I85)</f>
        <v/>
      </c>
      <c s="846" t="str">
        <f>IF(J85=0,"",J85)</f>
        <v/>
      </c>
      <c s="846" t="str">
        <f>IF(K85=0,"",K85)</f>
        <v/>
      </c>
      <c s="959" t="s">
        <v>2081</v>
      </c>
      <c s="959"/>
      <c s="959"/>
      <c s="959"/>
      <c s="959"/>
      <c s="845" t="s">
        <v>2193</v>
      </c>
      <c s="845"/>
      <c s="845"/>
      <c s="845"/>
      <c s="845"/>
      <c s="1002"/>
      <c s="848"/>
      <c s="851"/>
      <c s="848"/>
      <c s="848"/>
      <c s="848"/>
    </row>
    <row r="86" spans="1:30" ht="27" customHeight="1">
      <c r="A86" s="847"/>
      <c s="901">
        <v>69</v>
      </c>
      <c s="845"/>
      <c s="969"/>
      <c s="845"/>
      <c s="845"/>
      <c s="845"/>
      <c s="893"/>
      <c s="1007">
        <f>INDEX(TEMPLATE_NUMBER_POINT_FHD,B86,MATCH(TEMPLATE_SPHERE,TEMPLATE_SPHERE_LIST_FOR_NOTE,0))</f>
        <v>0</v>
      </c>
      <c s="1007">
        <f>INDEX(TEMPLATE_DATA_POINT_FHD,B86,MATCH(TEMPLATE_SPHERE,TEMPLATE_SPHERE_LIST_FOR_NOTE,0))</f>
        <v>0</v>
      </c>
      <c s="1007">
        <f>INDEX(TEMPLATE_NOTE_POINT_FHD,B86,MATCH(TEMPLATE_SPHERE,TEMPLATE_SPHERE_LIST_FOR_NOTE,0))</f>
        <v>0</v>
      </c>
      <c s="846" t="str">
        <f>IF(I86=0,"",I86)</f>
        <v/>
      </c>
      <c s="846" t="str">
        <f>IF(J86=0,"",J86)</f>
        <v/>
      </c>
      <c s="846" t="str">
        <f>IF(K86=0,"",K86)</f>
        <v/>
      </c>
      <c s="959" t="s">
        <v>2194</v>
      </c>
      <c s="959"/>
      <c s="959"/>
      <c s="959"/>
      <c s="959"/>
      <c s="845" t="s">
        <v>2195</v>
      </c>
      <c s="845"/>
      <c s="845"/>
      <c s="845"/>
      <c s="845"/>
      <c s="1002"/>
      <c s="848"/>
      <c s="851"/>
      <c s="848"/>
      <c s="848"/>
      <c s="848"/>
    </row>
    <row r="87" spans="1:30" ht="36" customHeight="1">
      <c r="A87" s="847"/>
      <c s="901">
        <v>70</v>
      </c>
      <c s="845" t="s">
        <v>2196</v>
      </c>
      <c s="969"/>
      <c s="845"/>
      <c s="845"/>
      <c s="845"/>
      <c s="893"/>
      <c s="1007">
        <f>INDEX(TEMPLATE_NUMBER_POINT_FHD,B87,MATCH(TEMPLATE_SPHERE,TEMPLATE_SPHERE_LIST_FOR_NOTE,0))</f>
        <v>0</v>
      </c>
      <c s="1007">
        <f>INDEX(TEMPLATE_DATA_POINT_FHD,B87,MATCH(TEMPLATE_SPHERE,TEMPLATE_SPHERE_LIST_FOR_NOTE,0))</f>
        <v>0</v>
      </c>
      <c s="1007">
        <f>INDEX(TEMPLATE_NOTE_POINT_FHD,B87,MATCH(TEMPLATE_SPHERE,TEMPLATE_SPHERE_LIST_FOR_NOTE,0))</f>
        <v>0</v>
      </c>
      <c s="846" t="str">
        <f>IF(I87=0,"",I87)</f>
        <v/>
      </c>
      <c s="846" t="str">
        <f>IF(J87=0,"",J87)</f>
        <v/>
      </c>
      <c s="846" t="str">
        <f>IF(K87=0,"",K87)</f>
        <v/>
      </c>
      <c s="959" t="s">
        <v>152</v>
      </c>
      <c s="959"/>
      <c s="959"/>
      <c s="959"/>
      <c s="959"/>
      <c s="845" t="s">
        <v>2197</v>
      </c>
      <c s="845"/>
      <c s="845"/>
      <c s="845"/>
      <c s="845"/>
      <c s="1002"/>
      <c s="848"/>
      <c s="851"/>
      <c s="848"/>
      <c s="848"/>
      <c s="848"/>
    </row>
    <row r="88" spans="1:30" ht="18" customHeight="1">
      <c r="A88" s="847"/>
      <c s="901">
        <v>71</v>
      </c>
      <c s="845" t="s">
        <v>2198</v>
      </c>
      <c s="969"/>
      <c s="845"/>
      <c s="845"/>
      <c s="845"/>
      <c s="893"/>
      <c s="1007">
        <f>INDEX(TEMPLATE_NUMBER_POINT_FHD,B88,MATCH(TEMPLATE_SPHERE,TEMPLATE_SPHERE_LIST_FOR_NOTE,0))</f>
        <v>0</v>
      </c>
      <c s="1007">
        <f>INDEX(TEMPLATE_DATA_POINT_FHD,B88,MATCH(TEMPLATE_SPHERE,TEMPLATE_SPHERE_LIST_FOR_NOTE,0))</f>
        <v>0</v>
      </c>
      <c s="1007">
        <f>INDEX(TEMPLATE_NOTE_POINT_FHD,B88,MATCH(TEMPLATE_SPHERE,TEMPLATE_SPHERE_LIST_FOR_NOTE,0))</f>
        <v>0</v>
      </c>
      <c s="846" t="str">
        <f>IF(I88=0,"",I88)</f>
        <v/>
      </c>
      <c s="846" t="str">
        <f>IF(J88=0,"",J88)</f>
        <v/>
      </c>
      <c s="846" t="str">
        <f>IF(K88=0,"",K88)</f>
        <v/>
      </c>
      <c s="959" t="s">
        <v>153</v>
      </c>
      <c s="959"/>
      <c s="959"/>
      <c s="959"/>
      <c s="959"/>
      <c s="845" t="s">
        <v>666</v>
      </c>
      <c s="845"/>
      <c s="845"/>
      <c s="845"/>
      <c s="845"/>
      <c s="1002"/>
      <c s="848"/>
      <c s="851"/>
      <c s="848"/>
      <c s="848"/>
      <c s="848"/>
    </row>
    <row r="89" spans="1:30" ht="18" customHeight="1">
      <c r="A89" s="847"/>
      <c s="901">
        <v>72</v>
      </c>
      <c s="845" t="s">
        <v>2199</v>
      </c>
      <c s="969" t="s">
        <v>2196</v>
      </c>
      <c s="845" t="s">
        <v>2196</v>
      </c>
      <c s="845" t="s">
        <v>2162</v>
      </c>
      <c s="845"/>
      <c s="893"/>
      <c s="1007" t="str">
        <f>INDEX(TEMPLATE_NUMBER_POINT_FHD,B89,MATCH(TEMPLATE_SPHERE,TEMPLATE_SPHERE_LIST_FOR_NOTE,0))</f>
        <v>10</v>
      </c>
      <c s="1007" t="str">
        <f>INDEX(TEMPLATE_DATA_POINT_FHD,B89,MATCH(TEMPLATE_SPHERE,TEMPLATE_SPHERE_LIST_FOR_NOTE,0))</f>
        <v>Среднесписочная численность основного производственного персонала</v>
      </c>
      <c s="1007">
        <f>INDEX(TEMPLATE_NOTE_POINT_FHD,B89,MATCH(TEMPLATE_SPHERE,TEMPLATE_SPHERE_LIST_FOR_NOTE,0))</f>
        <v>0</v>
      </c>
      <c s="846" t="str">
        <f>IF(I89=0,"",I89)</f>
        <v>10</v>
      </c>
      <c s="846" t="str">
        <f>IF(J89=0,"",J89)</f>
        <v>Среднесписочная численность основного производственного персонала</v>
      </c>
      <c s="846" t="str">
        <f>IF(K89=0,"",K89)</f>
        <v/>
      </c>
      <c s="959" t="s">
        <v>154</v>
      </c>
      <c s="959" t="s">
        <v>153</v>
      </c>
      <c s="959" t="s">
        <v>153</v>
      </c>
      <c s="959" t="s">
        <v>151</v>
      </c>
      <c s="959"/>
      <c s="845" t="s">
        <v>674</v>
      </c>
      <c s="845" t="s">
        <v>674</v>
      </c>
      <c s="845" t="s">
        <v>674</v>
      </c>
      <c s="845" t="s">
        <v>674</v>
      </c>
      <c s="845"/>
      <c s="1002"/>
      <c s="848"/>
      <c s="851"/>
      <c s="848"/>
      <c s="848"/>
      <c s="848"/>
    </row>
    <row r="90" spans="1:30" ht="27" customHeight="1">
      <c r="A90" s="847"/>
      <c s="901">
        <v>73</v>
      </c>
      <c s="845" t="s">
        <v>2200</v>
      </c>
      <c s="969"/>
      <c s="845"/>
      <c s="845"/>
      <c s="845"/>
      <c s="893"/>
      <c s="1007">
        <f>INDEX(TEMPLATE_NUMBER_POINT_FHD,B90,MATCH(TEMPLATE_SPHERE,TEMPLATE_SPHERE_LIST_FOR_NOTE,0))</f>
        <v>0</v>
      </c>
      <c s="1007">
        <f>INDEX(TEMPLATE_DATA_POINT_FHD,B90,MATCH(TEMPLATE_SPHERE,TEMPLATE_SPHERE_LIST_FOR_NOTE,0))</f>
        <v>0</v>
      </c>
      <c s="1007">
        <f>INDEX(TEMPLATE_NOTE_POINT_FHD,B90,MATCH(TEMPLATE_SPHERE,TEMPLATE_SPHERE_LIST_FOR_NOTE,0))</f>
        <v>0</v>
      </c>
      <c s="846" t="str">
        <f>IF(I90=0,"",I90)</f>
        <v/>
      </c>
      <c s="846" t="str">
        <f>IF(J90=0,"",J90)</f>
        <v/>
      </c>
      <c s="846" t="str">
        <f>IF(K90=0,"",K90)</f>
        <v/>
      </c>
      <c s="959" t="s">
        <v>155</v>
      </c>
      <c s="959"/>
      <c s="959"/>
      <c s="959"/>
      <c s="959"/>
      <c s="845" t="s">
        <v>676</v>
      </c>
      <c s="845"/>
      <c s="845"/>
      <c s="845"/>
      <c s="845"/>
      <c s="1002"/>
      <c s="848"/>
      <c s="851"/>
      <c s="848"/>
      <c s="848"/>
      <c s="848"/>
    </row>
    <row r="91" spans="1:30" ht="18" customHeight="1">
      <c r="A91" s="847"/>
      <c s="901">
        <v>74</v>
      </c>
      <c s="845"/>
      <c s="969" t="s">
        <v>2198</v>
      </c>
      <c s="845" t="s">
        <v>2198</v>
      </c>
      <c s="845"/>
      <c s="845"/>
      <c s="893"/>
      <c s="1007">
        <f>INDEX(TEMPLATE_NUMBER_POINT_FHD,B91,MATCH(TEMPLATE_SPHERE,TEMPLATE_SPHERE_LIST_FOR_NOTE,0))</f>
        <v>0</v>
      </c>
      <c s="1007">
        <f>INDEX(TEMPLATE_DATA_POINT_FHD,B91,MATCH(TEMPLATE_SPHERE,TEMPLATE_SPHERE_LIST_FOR_NOTE,0))</f>
        <v>0</v>
      </c>
      <c s="1007">
        <f>INDEX(TEMPLATE_NOTE_POINT_FHD,B91,MATCH(TEMPLATE_SPHERE,TEMPLATE_SPHERE_LIST_FOR_NOTE,0))</f>
        <v>0</v>
      </c>
      <c s="846" t="str">
        <f>IF(I91=0,"",I91)</f>
        <v/>
      </c>
      <c s="846" t="str">
        <f>IF(J91=0,"",J91)</f>
        <v/>
      </c>
      <c s="846" t="str">
        <f>IF(K91=0,"",K91)</f>
        <v/>
      </c>
      <c s="959"/>
      <c s="959" t="s">
        <v>154</v>
      </c>
      <c s="959" t="s">
        <v>154</v>
      </c>
      <c s="959"/>
      <c s="959"/>
      <c s="845"/>
      <c s="845" t="s">
        <v>2201</v>
      </c>
      <c s="845" t="s">
        <v>2201</v>
      </c>
      <c s="845"/>
      <c s="845"/>
      <c s="1002"/>
      <c s="848"/>
      <c s="851"/>
      <c s="848"/>
      <c s="848"/>
      <c s="848"/>
    </row>
    <row r="92" spans="1:30" ht="27" customHeight="1">
      <c r="A92" s="847"/>
      <c s="901">
        <v>75</v>
      </c>
      <c s="845"/>
      <c s="969" t="s">
        <v>2199</v>
      </c>
      <c s="845"/>
      <c s="845"/>
      <c s="845"/>
      <c s="893"/>
      <c s="1007">
        <f>INDEX(TEMPLATE_NUMBER_POINT_FHD,B92,MATCH(TEMPLATE_SPHERE,TEMPLATE_SPHERE_LIST_FOR_NOTE,0))</f>
        <v>0</v>
      </c>
      <c s="1007">
        <f>INDEX(TEMPLATE_DATA_POINT_FHD,B92,MATCH(TEMPLATE_SPHERE,TEMPLATE_SPHERE_LIST_FOR_NOTE,0))</f>
        <v>0</v>
      </c>
      <c s="1007">
        <f>INDEX(TEMPLATE_NOTE_POINT_FHD,B92,MATCH(TEMPLATE_SPHERE,TEMPLATE_SPHERE_LIST_FOR_NOTE,0))</f>
        <v>0</v>
      </c>
      <c s="846" t="str">
        <f>IF(I92=0,"",I92)</f>
        <v/>
      </c>
      <c s="846" t="str">
        <f>IF(J92=0,"",J92)</f>
        <v/>
      </c>
      <c s="846" t="str">
        <f>IF(K92=0,"",K92)</f>
        <v/>
      </c>
      <c s="959"/>
      <c s="959" t="s">
        <v>155</v>
      </c>
      <c s="959"/>
      <c s="959"/>
      <c s="959"/>
      <c s="845"/>
      <c s="845" t="s">
        <v>2202</v>
      </c>
      <c s="845"/>
      <c s="845"/>
      <c s="845"/>
      <c s="1002"/>
      <c s="848"/>
      <c s="851" t="s">
        <v>2203</v>
      </c>
      <c s="848"/>
      <c s="848"/>
      <c s="848"/>
    </row>
    <row r="93" spans="1:30" ht="27" customHeight="1">
      <c r="A93" s="847"/>
      <c s="901">
        <v>76</v>
      </c>
      <c s="845"/>
      <c s="969"/>
      <c s="845"/>
      <c s="845"/>
      <c s="845"/>
      <c s="893"/>
      <c s="1007">
        <f>INDEX(TEMPLATE_NUMBER_POINT_FHD,B93,MATCH(TEMPLATE_SPHERE,TEMPLATE_SPHERE_LIST_FOR_NOTE,0))</f>
        <v>0</v>
      </c>
      <c s="1007">
        <f>INDEX(TEMPLATE_DATA_POINT_FHD,B93,MATCH(TEMPLATE_SPHERE,TEMPLATE_SPHERE_LIST_FOR_NOTE,0))</f>
        <v>0</v>
      </c>
      <c s="1007">
        <f>INDEX(TEMPLATE_NOTE_POINT_FHD,B93,MATCH(TEMPLATE_SPHERE,TEMPLATE_SPHERE_LIST_FOR_NOTE,0))</f>
        <v>0</v>
      </c>
      <c s="846" t="str">
        <f>IF(I93=0,"",I93)</f>
        <v/>
      </c>
      <c s="846" t="str">
        <f>IF(J93=0,"",J93)</f>
        <v/>
      </c>
      <c s="846" t="str">
        <f>IF(K93=0,"",K93)</f>
        <v/>
      </c>
      <c s="959"/>
      <c s="959" t="s">
        <v>2109</v>
      </c>
      <c s="959"/>
      <c s="959"/>
      <c s="959"/>
      <c s="845"/>
      <c s="845" t="s">
        <v>2204</v>
      </c>
      <c s="845"/>
      <c s="845"/>
      <c s="845"/>
      <c s="1002"/>
      <c s="848"/>
      <c s="851" t="s">
        <v>2205</v>
      </c>
      <c s="848"/>
      <c s="848"/>
      <c s="848"/>
    </row>
    <row r="94" spans="1:30" ht="45" customHeight="1">
      <c r="A94" s="847"/>
      <c s="901">
        <v>77</v>
      </c>
      <c s="845"/>
      <c s="969" t="s">
        <v>2200</v>
      </c>
      <c s="845"/>
      <c s="845"/>
      <c s="845"/>
      <c s="893"/>
      <c s="1007">
        <f>INDEX(TEMPLATE_NUMBER_POINT_FHD,B94,MATCH(TEMPLATE_SPHERE,TEMPLATE_SPHERE_LIST_FOR_NOTE,0))</f>
        <v>0</v>
      </c>
      <c s="1007">
        <f>INDEX(TEMPLATE_DATA_POINT_FHD,B94,MATCH(TEMPLATE_SPHERE,TEMPLATE_SPHERE_LIST_FOR_NOTE,0))</f>
        <v>0</v>
      </c>
      <c s="1007">
        <f>INDEX(TEMPLATE_NOTE_POINT_FHD,B94,MATCH(TEMPLATE_SPHERE,TEMPLATE_SPHERE_LIST_FOR_NOTE,0))</f>
        <v>0</v>
      </c>
      <c s="846" t="str">
        <f>IF(I94=0,"",I94)</f>
        <v/>
      </c>
      <c s="846" t="str">
        <f>IF(J94=0,"",J94)</f>
        <v/>
      </c>
      <c s="846" t="str">
        <f>IF(K94=0,"",K94)</f>
        <v/>
      </c>
      <c s="959"/>
      <c s="959" t="s">
        <v>1463</v>
      </c>
      <c s="959"/>
      <c s="959"/>
      <c s="959"/>
      <c s="845"/>
      <c s="845" t="s">
        <v>2206</v>
      </c>
      <c s="845"/>
      <c s="845"/>
      <c s="845"/>
      <c s="1002"/>
      <c s="848"/>
      <c s="851" t="s">
        <v>2207</v>
      </c>
      <c s="848"/>
      <c s="848"/>
      <c s="848"/>
    </row>
    <row r="95" spans="1:30" ht="99" customHeight="1">
      <c r="A95" s="847"/>
      <c s="901">
        <v>78</v>
      </c>
      <c s="845" t="s">
        <v>2208</v>
      </c>
      <c s="969"/>
      <c s="845"/>
      <c s="845"/>
      <c s="845"/>
      <c s="893"/>
      <c s="1007">
        <f>INDEX(TEMPLATE_NUMBER_POINT_FHD,B95,MATCH(TEMPLATE_SPHERE,TEMPLATE_SPHERE_LIST_FOR_NOTE,0))</f>
        <v>0</v>
      </c>
      <c s="1007">
        <f>INDEX(TEMPLATE_DATA_POINT_FHD,B95,MATCH(TEMPLATE_SPHERE,TEMPLATE_SPHERE_LIST_FOR_NOTE,0))</f>
        <v>0</v>
      </c>
      <c s="1007">
        <f>INDEX(TEMPLATE_NOTE_POINT_FHD,B95,MATCH(TEMPLATE_SPHERE,TEMPLATE_SPHERE_LIST_FOR_NOTE,0))</f>
        <v>0</v>
      </c>
      <c s="846" t="str">
        <f>IF(I95=0,"",I95)</f>
        <v/>
      </c>
      <c s="846" t="str">
        <f>IF(J95=0,"",J95)</f>
        <v/>
      </c>
      <c s="846" t="str">
        <f>IF(K95=0,"",K95)</f>
        <v/>
      </c>
      <c s="959" t="s">
        <v>1463</v>
      </c>
      <c s="959"/>
      <c s="959"/>
      <c s="959"/>
      <c s="959"/>
      <c s="845" t="s">
        <v>2209</v>
      </c>
      <c s="845"/>
      <c s="845"/>
      <c s="845"/>
      <c s="845"/>
      <c s="1002"/>
      <c s="848"/>
      <c s="851"/>
      <c s="848"/>
      <c s="848"/>
      <c s="848"/>
    </row>
    <row r="96" spans="1:30" ht="99" customHeight="1">
      <c r="A96" s="847"/>
      <c s="901">
        <v>79</v>
      </c>
      <c s="845" t="s">
        <v>1149</v>
      </c>
      <c s="969"/>
      <c s="845"/>
      <c s="845"/>
      <c s="845"/>
      <c s="893"/>
      <c s="1007">
        <f>INDEX(TEMPLATE_NUMBER_POINT_FHD,B96,MATCH(TEMPLATE_SPHERE,TEMPLATE_SPHERE_LIST_FOR_NOTE,0))</f>
        <v>0</v>
      </c>
      <c s="1007">
        <f>INDEX(TEMPLATE_DATA_POINT_FHD,B96,MATCH(TEMPLATE_SPHERE,TEMPLATE_SPHERE_LIST_FOR_NOTE,0))</f>
        <v>0</v>
      </c>
      <c s="1007">
        <f>INDEX(TEMPLATE_NOTE_POINT_FHD,B96,MATCH(TEMPLATE_SPHERE,TEMPLATE_SPHERE_LIST_FOR_NOTE,0))</f>
        <v>0</v>
      </c>
      <c s="846" t="str">
        <f>IF(I96=0,"",I96)</f>
        <v/>
      </c>
      <c s="846" t="str">
        <f>IF(J96=0,"",J96)</f>
        <v/>
      </c>
      <c s="846" t="str">
        <f>IF(K96=0,"",K96)</f>
        <v/>
      </c>
      <c s="959" t="s">
        <v>1469</v>
      </c>
      <c s="959"/>
      <c s="959"/>
      <c s="959"/>
      <c s="959"/>
      <c s="845" t="s">
        <v>2210</v>
      </c>
      <c s="845"/>
      <c s="845"/>
      <c s="845"/>
      <c s="845"/>
      <c s="1002"/>
      <c s="848" t="s">
        <v>2211</v>
      </c>
      <c s="851"/>
      <c s="848"/>
      <c s="848"/>
      <c s="848"/>
    </row>
    <row r="97" spans="1:30" ht="63" customHeight="1">
      <c r="A97" s="847"/>
      <c s="901">
        <v>80</v>
      </c>
      <c s="845" t="s">
        <v>2212</v>
      </c>
      <c s="969"/>
      <c s="845"/>
      <c s="845"/>
      <c s="845"/>
      <c s="893"/>
      <c s="1007">
        <f>INDEX(TEMPLATE_NUMBER_POINT_FHD,B97,MATCH(TEMPLATE_SPHERE,TEMPLATE_SPHERE_LIST_FOR_NOTE,0))</f>
        <v>0</v>
      </c>
      <c s="1007">
        <f>INDEX(TEMPLATE_DATA_POINT_FHD,B97,MATCH(TEMPLATE_SPHERE,TEMPLATE_SPHERE_LIST_FOR_NOTE,0))</f>
        <v>0</v>
      </c>
      <c s="1007">
        <f>INDEX(TEMPLATE_NOTE_POINT_FHD,B97,MATCH(TEMPLATE_SPHERE,TEMPLATE_SPHERE_LIST_FOR_NOTE,0))</f>
        <v>0</v>
      </c>
      <c s="846" t="str">
        <f>IF(I97=0,"",I97)</f>
        <v/>
      </c>
      <c s="846" t="str">
        <f>IF(J97=0,"",J97)</f>
        <v/>
      </c>
      <c s="846" t="str">
        <f>IF(K97=0,"",K97)</f>
        <v/>
      </c>
      <c s="959" t="s">
        <v>1481</v>
      </c>
      <c s="959"/>
      <c s="959"/>
      <c s="959"/>
      <c s="959"/>
      <c s="845" t="s">
        <v>2213</v>
      </c>
      <c s="845"/>
      <c s="845"/>
      <c s="845"/>
      <c s="845"/>
      <c s="1002"/>
      <c s="848" t="s">
        <v>2214</v>
      </c>
      <c s="851"/>
      <c s="848"/>
      <c s="848"/>
      <c s="848"/>
    </row>
    <row r="98" spans="1:30" ht="63" customHeight="1">
      <c r="A98" s="847"/>
      <c s="901">
        <v>81</v>
      </c>
      <c s="845" t="s">
        <v>2215</v>
      </c>
      <c s="969"/>
      <c s="845"/>
      <c s="845"/>
      <c s="845"/>
      <c s="893"/>
      <c s="1007">
        <f>INDEX(TEMPLATE_NUMBER_POINT_FHD,B98,MATCH(TEMPLATE_SPHERE,TEMPLATE_SPHERE_LIST_FOR_NOTE,0))</f>
        <v>0</v>
      </c>
      <c s="1007">
        <f>INDEX(TEMPLATE_DATA_POINT_FHD,B98,MATCH(TEMPLATE_SPHERE,TEMPLATE_SPHERE_LIST_FOR_NOTE,0))</f>
        <v>0</v>
      </c>
      <c s="1007">
        <f>INDEX(TEMPLATE_NOTE_POINT_FHD,B98,MATCH(TEMPLATE_SPHERE,TEMPLATE_SPHERE_LIST_FOR_NOTE,0))</f>
        <v>0</v>
      </c>
      <c s="846" t="str">
        <f>IF(I98=0,"",I98)</f>
        <v/>
      </c>
      <c s="846" t="str">
        <f>IF(J98=0,"",J98)</f>
        <v/>
      </c>
      <c s="846" t="str">
        <f>IF(K98=0,"",K98)</f>
        <v/>
      </c>
      <c s="959" t="s">
        <v>1495</v>
      </c>
      <c s="959"/>
      <c s="959"/>
      <c s="959"/>
      <c s="959"/>
      <c s="845" t="s">
        <v>2216</v>
      </c>
      <c s="845"/>
      <c s="845"/>
      <c s="845"/>
      <c s="845"/>
      <c s="1002"/>
      <c s="848" t="s">
        <v>2214</v>
      </c>
      <c s="851"/>
      <c s="848"/>
      <c s="848"/>
      <c s="848"/>
    </row>
    <row r="99" spans="1:30" ht="90" customHeight="1">
      <c r="A99" s="847"/>
      <c s="901">
        <v>82</v>
      </c>
      <c s="845" t="s">
        <v>2217</v>
      </c>
      <c s="969"/>
      <c s="845"/>
      <c s="845"/>
      <c s="845"/>
      <c s="893"/>
      <c s="1007">
        <f>INDEX(TEMPLATE_NUMBER_POINT_FHD,B99,MATCH(TEMPLATE_SPHERE,TEMPLATE_SPHERE_LIST_FOR_NOTE,0))</f>
        <v>0</v>
      </c>
      <c s="1007">
        <f>INDEX(TEMPLATE_DATA_POINT_FHD,B99,MATCH(TEMPLATE_SPHERE,TEMPLATE_SPHERE_LIST_FOR_NOTE,0))</f>
        <v>0</v>
      </c>
      <c s="1007">
        <f>INDEX(TEMPLATE_NOTE_POINT_FHD,B99,MATCH(TEMPLATE_SPHERE,TEMPLATE_SPHERE_LIST_FOR_NOTE,0))</f>
        <v>0</v>
      </c>
      <c s="846" t="str">
        <f>IF(I99=0,"",I99)</f>
        <v/>
      </c>
      <c s="846" t="str">
        <f>IF(J99=0,"",J99)</f>
        <v/>
      </c>
      <c s="846" t="str">
        <f>IF(K99=0,"",K99)</f>
        <v/>
      </c>
      <c s="959" t="s">
        <v>1507</v>
      </c>
      <c s="959"/>
      <c s="959"/>
      <c s="959"/>
      <c s="959"/>
      <c s="845" t="s">
        <v>2218</v>
      </c>
      <c s="845"/>
      <c s="845"/>
      <c s="845"/>
      <c s="845"/>
      <c s="1002"/>
      <c s="848" t="s">
        <v>631</v>
      </c>
      <c s="851"/>
      <c s="848"/>
      <c s="848"/>
      <c s="848"/>
    </row>
    <row r="100" spans="1:30" ht="27" customHeight="1">
      <c r="A100" s="847"/>
      <c s="901">
        <v>83</v>
      </c>
      <c s="845"/>
      <c s="969"/>
      <c s="845"/>
      <c s="845"/>
      <c s="845"/>
      <c s="893"/>
      <c s="1007">
        <f>INDEX(TEMPLATE_NUMBER_POINT_FHD,B100,MATCH(TEMPLATE_SPHERE,TEMPLATE_SPHERE_LIST_FOR_NOTE,0))</f>
        <v>0</v>
      </c>
      <c s="1007">
        <f>INDEX(TEMPLATE_DATA_POINT_FHD,B100,MATCH(TEMPLATE_SPHERE,TEMPLATE_SPHERE_LIST_FOR_NOTE,0))</f>
        <v>0</v>
      </c>
      <c s="1007">
        <f>INDEX(TEMPLATE_NOTE_POINT_FHD,B100,MATCH(TEMPLATE_SPHERE,TEMPLATE_SPHERE_LIST_FOR_NOTE,0))</f>
        <v>0</v>
      </c>
      <c s="846" t="str">
        <f>IF(I100=0,"",I100)</f>
        <v/>
      </c>
      <c s="846" t="str">
        <f>IF(J100=0,"",J100)</f>
        <v/>
      </c>
      <c s="846" t="str">
        <f>IF(K100=0,"",K100)</f>
        <v/>
      </c>
      <c s="959" t="s">
        <v>2219</v>
      </c>
      <c s="959"/>
      <c s="959"/>
      <c s="959"/>
      <c s="959"/>
      <c s="845" t="s">
        <v>2220</v>
      </c>
      <c s="845"/>
      <c s="845"/>
      <c s="845"/>
      <c s="845"/>
      <c s="1002"/>
      <c s="848" t="s">
        <v>631</v>
      </c>
      <c s="851"/>
      <c s="848"/>
      <c s="848"/>
      <c s="848"/>
    </row>
    <row r="101" spans="1:30" ht="27" customHeight="1">
      <c r="A101" s="847"/>
      <c s="901">
        <v>84</v>
      </c>
      <c s="845"/>
      <c s="969"/>
      <c s="845"/>
      <c s="845"/>
      <c s="845"/>
      <c s="893"/>
      <c s="1007">
        <f>INDEX(TEMPLATE_NUMBER_POINT_FHD,B101,MATCH(TEMPLATE_SPHERE,TEMPLATE_SPHERE_LIST_FOR_NOTE,0))</f>
        <v>0</v>
      </c>
      <c s="1007">
        <f>INDEX(TEMPLATE_DATA_POINT_FHD,B101,MATCH(TEMPLATE_SPHERE,TEMPLATE_SPHERE_LIST_FOR_NOTE,0))</f>
        <v>0</v>
      </c>
      <c s="1007">
        <f>INDEX(TEMPLATE_NOTE_POINT_FHD,B101,MATCH(TEMPLATE_SPHERE,TEMPLATE_SPHERE_LIST_FOR_NOTE,0))</f>
        <v>0</v>
      </c>
      <c s="846" t="str">
        <f>IF(I101=0,"",I101)</f>
        <v/>
      </c>
      <c s="846" t="str">
        <f>IF(J101=0,"",J101)</f>
        <v/>
      </c>
      <c s="846" t="str">
        <f>IF(K101=0,"",K101)</f>
        <v/>
      </c>
      <c s="959" t="s">
        <v>2221</v>
      </c>
      <c s="959"/>
      <c s="959"/>
      <c s="959"/>
      <c s="959"/>
      <c s="845" t="s">
        <v>2222</v>
      </c>
      <c s="845"/>
      <c s="845"/>
      <c s="845"/>
      <c s="845"/>
      <c s="1002"/>
      <c s="848" t="s">
        <v>631</v>
      </c>
      <c s="851"/>
      <c s="848"/>
      <c s="848"/>
      <c s="848"/>
    </row>
    <row r="102" spans="1:30" ht="9" customHeight="1">
      <c r="A102" s="847"/>
      <c s="847"/>
      <c s="845"/>
      <c s="845"/>
      <c s="845"/>
      <c s="845"/>
      <c s="845"/>
      <c s="893"/>
      <c s="893"/>
      <c s="893"/>
      <c s="893"/>
      <c s="893"/>
      <c s="845"/>
      <c s="892"/>
      <c s="959"/>
      <c s="959"/>
      <c s="959"/>
      <c s="959"/>
      <c s="845"/>
      <c s="845"/>
      <c s="845"/>
      <c s="845"/>
      <c s="845"/>
      <c s="845"/>
      <c s="1002"/>
      <c s="848"/>
      <c s="851"/>
      <c s="848"/>
      <c s="848"/>
      <c s="848"/>
    </row>
    <row r="103" spans="1:30" ht="9" customHeight="1">
      <c r="A103" s="847"/>
      <c s="847"/>
      <c s="845"/>
      <c s="845"/>
      <c s="845"/>
      <c s="845"/>
      <c s="845"/>
      <c s="893"/>
      <c s="893"/>
      <c s="893"/>
      <c s="893"/>
      <c s="893"/>
      <c s="845"/>
      <c s="892"/>
      <c s="959"/>
      <c s="959"/>
      <c s="959"/>
      <c s="959"/>
      <c s="845"/>
      <c s="845"/>
      <c s="845"/>
      <c s="845"/>
      <c s="845"/>
      <c s="845"/>
      <c s="1002"/>
      <c s="848"/>
      <c s="851"/>
      <c s="848"/>
      <c s="848"/>
      <c s="848"/>
    </row>
    <row r="104" spans="1:30" ht="9" customHeight="1">
      <c r="A104" s="847"/>
      <c s="847"/>
      <c s="845"/>
      <c s="845"/>
      <c s="845"/>
      <c s="845"/>
      <c s="845"/>
      <c s="893"/>
      <c s="893"/>
      <c s="893"/>
      <c s="893"/>
      <c s="893"/>
      <c s="845"/>
      <c s="892"/>
      <c s="959"/>
      <c s="959"/>
      <c s="959"/>
      <c s="959"/>
      <c s="845"/>
      <c s="845"/>
      <c s="845"/>
      <c s="845"/>
      <c s="845"/>
      <c s="845"/>
      <c s="1002"/>
      <c s="848"/>
      <c s="851"/>
      <c s="848"/>
      <c s="848"/>
      <c s="848"/>
    </row>
    <row r="105" spans="1:30" ht="9" customHeight="1">
      <c r="A105" s="847"/>
      <c s="847"/>
      <c s="845"/>
      <c s="845"/>
      <c s="845"/>
      <c s="845"/>
      <c s="845"/>
      <c s="893"/>
      <c s="893"/>
      <c s="893"/>
      <c s="893"/>
      <c s="893"/>
      <c s="845"/>
      <c s="892"/>
      <c s="959"/>
      <c s="959"/>
      <c s="959"/>
      <c s="959"/>
      <c s="845"/>
      <c s="845"/>
      <c s="845"/>
      <c s="845"/>
      <c s="845"/>
      <c s="845"/>
      <c s="1002"/>
      <c s="848"/>
      <c s="851"/>
      <c s="848"/>
      <c s="848"/>
      <c s="848"/>
    </row>
    <row r="106" spans="1:30" ht="9" customHeight="1">
      <c r="A106" s="847"/>
      <c s="847"/>
      <c s="845"/>
      <c s="845"/>
      <c s="845"/>
      <c s="845"/>
      <c s="845"/>
      <c s="893"/>
      <c s="893"/>
      <c s="893"/>
      <c s="893"/>
      <c s="893"/>
      <c s="845"/>
      <c s="892"/>
      <c s="959"/>
      <c s="959"/>
      <c s="959"/>
      <c s="959"/>
      <c s="845"/>
      <c s="845"/>
      <c s="845"/>
      <c s="845"/>
      <c s="845"/>
      <c s="845"/>
      <c s="1002"/>
      <c s="848"/>
      <c s="851"/>
      <c s="848"/>
      <c s="848"/>
      <c s="848"/>
    </row>
    <row r="107" spans="1:30" ht="9" customHeight="1">
      <c r="A107" s="847"/>
      <c s="847"/>
      <c s="845"/>
      <c s="845"/>
      <c s="845"/>
      <c s="845"/>
      <c s="845"/>
      <c s="893"/>
      <c s="893"/>
      <c s="893"/>
      <c s="893"/>
      <c s="893"/>
      <c s="845"/>
      <c s="892"/>
      <c s="959"/>
      <c s="959"/>
      <c s="959"/>
      <c s="959"/>
      <c s="845"/>
      <c s="845"/>
      <c s="845"/>
      <c s="845"/>
      <c s="845"/>
      <c s="845"/>
      <c s="1002"/>
      <c s="848"/>
      <c s="851"/>
      <c s="848"/>
      <c s="848"/>
      <c s="848"/>
    </row>
    <row r="108" spans="1:30" ht="9" customHeight="1">
      <c r="A108" s="847"/>
      <c s="847"/>
      <c s="845"/>
      <c s="845"/>
      <c s="845"/>
      <c s="845"/>
      <c s="845"/>
      <c s="893"/>
      <c s="893"/>
      <c s="893"/>
      <c s="893"/>
      <c s="893"/>
      <c s="845"/>
      <c s="892"/>
      <c s="959"/>
      <c s="959"/>
      <c s="959"/>
      <c s="959"/>
      <c s="845"/>
      <c s="845"/>
      <c s="845"/>
      <c s="845"/>
      <c s="845"/>
      <c s="845"/>
      <c s="1002"/>
      <c s="848"/>
      <c s="851"/>
      <c s="848"/>
      <c s="848"/>
      <c s="848"/>
    </row>
    <row r="109" spans="1:30" ht="9" customHeight="1">
      <c r="A109" s="847"/>
      <c s="847"/>
      <c s="845"/>
      <c s="845"/>
      <c s="845"/>
      <c s="845"/>
      <c s="845"/>
      <c s="893"/>
      <c s="893"/>
      <c s="893"/>
      <c s="893"/>
      <c s="893"/>
      <c s="845"/>
      <c s="892"/>
      <c s="959"/>
      <c s="959"/>
      <c s="959"/>
      <c s="959"/>
      <c s="845"/>
      <c s="845"/>
      <c s="845"/>
      <c s="845"/>
      <c s="845"/>
      <c s="845"/>
      <c s="1002"/>
      <c s="848"/>
      <c s="851"/>
      <c s="848"/>
      <c s="848"/>
      <c s="848"/>
    </row>
    <row r="110" spans="1:30" ht="9" customHeight="1">
      <c r="A110" s="847"/>
      <c s="847"/>
      <c s="845"/>
      <c s="845"/>
      <c s="845"/>
      <c s="845"/>
      <c s="845"/>
      <c s="893"/>
      <c s="893"/>
      <c s="893"/>
      <c s="893"/>
      <c s="893"/>
      <c s="845"/>
      <c s="892"/>
      <c s="959"/>
      <c s="959"/>
      <c s="959"/>
      <c s="959"/>
      <c s="845"/>
      <c s="845"/>
      <c s="845"/>
      <c s="845"/>
      <c s="845"/>
      <c s="845"/>
      <c s="1002"/>
      <c s="848"/>
      <c s="851"/>
      <c s="848"/>
      <c s="848"/>
      <c s="848"/>
    </row>
    <row r="111" spans="1:30" ht="9" customHeight="1">
      <c r="A111" s="847"/>
      <c s="847"/>
      <c s="845"/>
      <c s="845"/>
      <c s="845"/>
      <c s="845"/>
      <c s="845"/>
      <c s="893"/>
      <c s="893"/>
      <c s="893"/>
      <c s="893"/>
      <c s="893"/>
      <c s="845"/>
      <c s="892"/>
      <c s="959"/>
      <c s="959"/>
      <c s="959"/>
      <c s="959"/>
      <c s="845"/>
      <c s="845"/>
      <c s="845"/>
      <c s="845"/>
      <c s="845"/>
      <c s="845"/>
      <c s="1002"/>
      <c s="848"/>
      <c s="851"/>
      <c s="848"/>
      <c s="848"/>
      <c s="848"/>
    </row>
    <row r="112" spans="1:30" ht="9" customHeight="1">
      <c r="A112" s="847"/>
      <c s="847"/>
      <c s="845"/>
      <c s="845"/>
      <c s="845"/>
      <c s="845"/>
      <c s="845"/>
      <c s="893"/>
      <c s="893"/>
      <c s="893"/>
      <c s="893"/>
      <c s="893"/>
      <c s="845"/>
      <c s="892"/>
      <c s="959"/>
      <c s="959"/>
      <c s="959"/>
      <c s="959"/>
      <c s="845"/>
      <c s="845"/>
      <c s="845"/>
      <c s="845"/>
      <c s="845"/>
      <c s="845"/>
      <c s="1002"/>
      <c s="848"/>
      <c s="851"/>
      <c s="848"/>
      <c s="848"/>
      <c s="848"/>
    </row>
    <row r="113" spans="1:30" ht="9" customHeight="1">
      <c r="A113" s="847"/>
      <c s="847"/>
      <c s="845"/>
      <c s="845"/>
      <c s="845"/>
      <c s="845"/>
      <c s="845"/>
      <c s="893"/>
      <c s="893"/>
      <c s="893"/>
      <c s="893"/>
      <c s="893"/>
      <c s="845"/>
      <c s="892"/>
      <c s="959"/>
      <c s="959"/>
      <c s="959"/>
      <c s="959"/>
      <c s="845"/>
      <c s="845"/>
      <c s="845"/>
      <c s="845"/>
      <c s="845"/>
      <c s="845"/>
      <c s="1002"/>
      <c s="848"/>
      <c s="851"/>
      <c s="848"/>
      <c s="848"/>
      <c s="848"/>
    </row>
    <row r="114" spans="1:30" ht="9" customHeight="1">
      <c r="A114" s="847"/>
      <c s="847"/>
      <c s="845"/>
      <c s="845"/>
      <c s="845"/>
      <c s="845"/>
      <c s="845"/>
      <c s="893"/>
      <c s="893"/>
      <c s="893"/>
      <c s="893"/>
      <c s="893"/>
      <c s="845"/>
      <c s="892"/>
      <c s="959"/>
      <c s="959"/>
      <c s="959"/>
      <c s="959"/>
      <c s="845"/>
      <c s="845"/>
      <c s="845"/>
      <c s="845"/>
      <c s="845"/>
      <c s="845"/>
      <c s="1002"/>
      <c s="848"/>
      <c s="851"/>
      <c s="848"/>
      <c s="848"/>
      <c s="848"/>
    </row>
    <row r="115" spans="1:30" ht="9" customHeight="1">
      <c r="A115" s="847"/>
      <c s="847"/>
      <c s="845"/>
      <c s="845"/>
      <c s="845"/>
      <c s="845"/>
      <c s="845"/>
      <c s="893"/>
      <c s="893"/>
      <c s="893"/>
      <c s="893"/>
      <c s="893"/>
      <c s="845"/>
      <c s="892"/>
      <c s="959"/>
      <c s="959"/>
      <c s="959"/>
      <c s="959"/>
      <c s="845"/>
      <c s="845"/>
      <c s="845"/>
      <c s="845"/>
      <c s="845"/>
      <c s="845"/>
      <c s="1002"/>
      <c s="848"/>
      <c s="851"/>
      <c s="848"/>
      <c s="848"/>
      <c s="848"/>
    </row>
    <row r="116" spans="1:30" ht="9" customHeight="1">
      <c r="A116" s="847"/>
      <c s="847"/>
      <c s="845"/>
      <c s="845"/>
      <c s="845"/>
      <c s="845"/>
      <c s="845"/>
      <c s="893"/>
      <c s="893"/>
      <c s="893"/>
      <c s="893"/>
      <c s="893"/>
      <c s="845"/>
      <c s="892"/>
      <c s="959"/>
      <c s="959"/>
      <c s="959"/>
      <c s="959"/>
      <c s="845"/>
      <c s="845"/>
      <c s="845"/>
      <c s="845"/>
      <c s="845"/>
      <c s="845"/>
      <c s="1002"/>
      <c s="848"/>
      <c s="851"/>
      <c s="848"/>
      <c s="848"/>
      <c s="848"/>
    </row>
    <row r="117" spans="1:30" ht="9" customHeight="1">
      <c r="A117" s="847"/>
      <c s="847"/>
      <c s="845"/>
      <c s="845"/>
      <c s="845"/>
      <c s="845"/>
      <c s="845"/>
      <c s="893"/>
      <c s="893"/>
      <c s="893"/>
      <c s="893"/>
      <c s="893"/>
      <c s="845"/>
      <c s="892"/>
      <c s="959"/>
      <c s="959"/>
      <c s="959"/>
      <c s="959"/>
      <c s="845"/>
      <c s="845"/>
      <c s="845"/>
      <c s="845"/>
      <c s="845"/>
      <c s="845"/>
      <c s="1002"/>
      <c s="848"/>
      <c s="851"/>
      <c s="848"/>
      <c s="848"/>
      <c s="848"/>
    </row>
    <row r="118" spans="1:30" ht="9" customHeight="1">
      <c r="A118" s="847"/>
      <c s="847"/>
      <c s="845"/>
      <c s="845"/>
      <c s="845"/>
      <c s="845"/>
      <c s="845"/>
      <c s="893"/>
      <c s="893"/>
      <c s="893"/>
      <c s="893"/>
      <c s="893"/>
      <c s="845"/>
      <c s="892"/>
      <c s="959"/>
      <c s="959"/>
      <c s="959"/>
      <c s="959"/>
      <c s="845"/>
      <c s="845"/>
      <c s="845"/>
      <c s="845"/>
      <c s="845"/>
      <c s="845"/>
      <c s="1002"/>
      <c s="848"/>
      <c s="851"/>
      <c s="848"/>
      <c s="848"/>
      <c s="848"/>
    </row>
    <row r="119" spans="1:30" ht="9" customHeight="1">
      <c r="A119" s="847"/>
      <c s="847"/>
      <c s="845"/>
      <c s="845"/>
      <c s="845"/>
      <c s="845"/>
      <c s="845"/>
      <c s="893"/>
      <c s="893"/>
      <c s="893"/>
      <c s="893"/>
      <c s="893"/>
      <c s="845"/>
      <c s="892"/>
      <c s="959"/>
      <c s="959"/>
      <c s="959"/>
      <c s="959"/>
      <c s="845"/>
      <c s="845"/>
      <c s="845"/>
      <c s="845"/>
      <c s="845"/>
      <c s="845"/>
      <c s="1002"/>
      <c s="848"/>
      <c s="851"/>
      <c s="848"/>
      <c s="848"/>
      <c s="848"/>
    </row>
    <row r="120" spans="1:30" ht="9" customHeight="1">
      <c r="A120" s="847"/>
      <c s="847"/>
      <c s="845"/>
      <c s="845"/>
      <c s="845"/>
      <c s="845"/>
      <c s="845"/>
      <c s="893"/>
      <c s="893"/>
      <c s="893"/>
      <c s="893"/>
      <c s="893"/>
      <c s="845"/>
      <c s="892"/>
      <c s="959"/>
      <c s="959"/>
      <c s="959"/>
      <c s="959"/>
      <c s="845"/>
      <c s="845"/>
      <c s="845"/>
      <c s="845"/>
      <c s="845"/>
      <c s="845"/>
      <c s="1002"/>
      <c s="848"/>
      <c s="851"/>
      <c s="848"/>
      <c s="848"/>
      <c s="848"/>
    </row>
    <row r="121" spans="1:30" ht="9" customHeight="1">
      <c r="A121" s="847"/>
      <c s="847"/>
      <c s="845"/>
      <c s="845"/>
      <c s="845"/>
      <c s="845"/>
      <c s="845"/>
      <c s="893"/>
      <c s="893"/>
      <c s="893"/>
      <c s="893"/>
      <c s="893"/>
      <c s="845"/>
      <c s="892"/>
      <c s="959"/>
      <c s="959"/>
      <c s="959"/>
      <c s="959"/>
      <c s="845"/>
      <c s="845"/>
      <c s="845"/>
      <c s="845"/>
      <c s="845"/>
      <c s="845"/>
      <c s="1002"/>
      <c s="848"/>
      <c s="851"/>
      <c s="848"/>
      <c s="848"/>
      <c s="848"/>
    </row>
    <row r="122" spans="1:30" ht="9" customHeight="1">
      <c r="A122" s="847"/>
      <c s="847"/>
      <c s="845"/>
      <c s="845"/>
      <c s="845"/>
      <c s="845"/>
      <c s="845"/>
      <c s="893"/>
      <c s="893"/>
      <c s="893"/>
      <c s="893"/>
      <c s="893"/>
      <c s="845"/>
      <c s="892"/>
      <c s="959"/>
      <c s="959"/>
      <c s="959"/>
      <c s="959"/>
      <c s="845"/>
      <c s="845"/>
      <c s="845"/>
      <c s="845"/>
      <c s="845"/>
      <c s="845"/>
      <c s="1002"/>
      <c s="848"/>
      <c s="851"/>
      <c s="848"/>
      <c s="848"/>
      <c s="848"/>
    </row>
    <row r="123" spans="1:30" ht="9" customHeight="1">
      <c r="A123" s="847"/>
      <c s="847"/>
      <c s="845"/>
      <c s="845"/>
      <c s="845"/>
      <c s="845"/>
      <c s="845"/>
      <c s="893"/>
      <c s="893"/>
      <c s="893"/>
      <c s="893"/>
      <c s="893"/>
      <c s="845"/>
      <c s="892"/>
      <c s="959"/>
      <c s="959"/>
      <c s="959"/>
      <c s="959"/>
      <c s="845"/>
      <c s="845"/>
      <c s="845"/>
      <c s="845"/>
      <c s="845"/>
      <c s="845"/>
      <c s="1002"/>
      <c s="848"/>
      <c s="851"/>
      <c s="848"/>
      <c s="848"/>
      <c s="848"/>
    </row>
    <row r="124" spans="1:30" ht="9" customHeight="1">
      <c r="A124" s="847"/>
      <c s="847"/>
      <c s="845"/>
      <c s="845"/>
      <c s="845"/>
      <c s="845"/>
      <c s="845"/>
      <c s="893"/>
      <c s="893"/>
      <c s="893"/>
      <c s="893"/>
      <c s="893"/>
      <c s="845"/>
      <c s="892"/>
      <c s="959"/>
      <c s="959"/>
      <c s="959"/>
      <c s="959"/>
      <c s="845"/>
      <c s="845"/>
      <c s="845"/>
      <c s="845"/>
      <c s="845"/>
      <c s="845"/>
      <c s="1002"/>
      <c s="848"/>
      <c s="851"/>
      <c s="848"/>
      <c s="848"/>
      <c s="848"/>
    </row>
    <row r="125" spans="1:30" ht="9" customHeight="1">
      <c r="A125" s="847"/>
      <c s="847"/>
      <c s="845"/>
      <c s="845"/>
      <c s="845"/>
      <c s="845"/>
      <c s="845"/>
      <c s="893"/>
      <c s="893"/>
      <c s="893"/>
      <c s="893"/>
      <c s="893"/>
      <c s="845"/>
      <c s="892"/>
      <c s="959"/>
      <c s="959"/>
      <c s="959"/>
      <c s="959"/>
      <c s="845"/>
      <c s="845"/>
      <c s="845"/>
      <c s="845"/>
      <c s="845"/>
      <c s="845"/>
      <c s="1002"/>
      <c s="848"/>
      <c s="851"/>
      <c s="848"/>
      <c s="848"/>
      <c s="848"/>
    </row>
    <row r="126" spans="1:30" ht="9" customHeight="1">
      <c r="A126" s="847"/>
      <c s="847"/>
      <c s="845"/>
      <c s="845"/>
      <c s="845"/>
      <c s="845"/>
      <c s="845"/>
      <c s="893"/>
      <c s="893"/>
      <c s="893"/>
      <c s="893"/>
      <c s="893"/>
      <c s="845"/>
      <c s="892"/>
      <c s="959"/>
      <c s="959"/>
      <c s="959"/>
      <c s="959"/>
      <c s="845"/>
      <c s="845"/>
      <c s="845"/>
      <c s="845"/>
      <c s="845"/>
      <c s="845"/>
      <c s="1002"/>
      <c s="848"/>
      <c s="851"/>
      <c s="848"/>
      <c s="848"/>
      <c s="848"/>
    </row>
    <row r="127" spans="1:30" ht="9" customHeight="1">
      <c r="A127" s="847"/>
      <c s="847"/>
      <c s="845"/>
      <c s="845"/>
      <c s="845"/>
      <c s="845"/>
      <c s="845"/>
      <c s="893"/>
      <c s="893"/>
      <c s="893"/>
      <c s="893"/>
      <c s="893"/>
      <c s="845"/>
      <c s="892"/>
      <c s="959"/>
      <c s="959"/>
      <c s="959"/>
      <c s="959"/>
      <c s="845"/>
      <c s="845"/>
      <c s="845"/>
      <c s="845"/>
      <c s="845"/>
      <c s="845"/>
      <c s="1002"/>
      <c s="848"/>
      <c s="851"/>
      <c s="848"/>
      <c s="848"/>
      <c s="848"/>
    </row>
    <row r="128" spans="1:30" ht="9" customHeight="1">
      <c r="A128" s="847"/>
      <c s="847"/>
      <c s="845"/>
      <c s="845"/>
      <c s="845"/>
      <c s="845"/>
      <c s="845"/>
      <c s="893"/>
      <c s="893"/>
      <c s="893"/>
      <c s="893"/>
      <c s="893"/>
      <c s="845"/>
      <c s="892"/>
      <c s="959"/>
      <c s="959"/>
      <c s="959"/>
      <c s="959"/>
      <c s="845"/>
      <c s="845"/>
      <c s="845"/>
      <c s="845"/>
      <c s="845"/>
      <c s="845"/>
      <c s="1002"/>
      <c s="848"/>
      <c s="851"/>
      <c s="848"/>
      <c s="848"/>
      <c s="848"/>
    </row>
    <row r="129" spans="1:30" ht="9" customHeight="1">
      <c r="A129" s="847"/>
      <c s="847"/>
      <c s="845"/>
      <c s="845"/>
      <c s="845"/>
      <c s="845"/>
      <c s="845"/>
      <c s="893"/>
      <c s="893"/>
      <c s="893"/>
      <c s="893"/>
      <c s="893"/>
      <c s="845"/>
      <c s="892"/>
      <c s="959"/>
      <c s="959"/>
      <c s="959"/>
      <c s="959"/>
      <c s="845"/>
      <c s="845"/>
      <c s="845"/>
      <c s="845"/>
      <c s="845"/>
      <c s="845"/>
      <c s="1002"/>
      <c s="848"/>
      <c s="851"/>
      <c s="848"/>
      <c s="848"/>
      <c s="848"/>
    </row>
    <row r="130" spans="1:30" ht="9" customHeight="1">
      <c r="A130" s="847"/>
      <c s="847"/>
      <c s="845"/>
      <c s="845"/>
      <c s="845"/>
      <c s="845"/>
      <c s="845"/>
      <c s="893"/>
      <c s="893"/>
      <c s="893"/>
      <c s="893"/>
      <c s="893"/>
      <c s="845"/>
      <c s="892"/>
      <c s="961"/>
      <c s="961"/>
      <c s="961"/>
      <c s="961"/>
      <c s="845"/>
      <c s="845"/>
      <c s="845"/>
      <c s="845"/>
      <c s="845"/>
      <c s="845"/>
      <c s="1002"/>
      <c s="848"/>
      <c s="851"/>
      <c s="848"/>
      <c s="848"/>
      <c s="848"/>
    </row>
    <row r="131" spans="1:30" ht="9" customHeight="1">
      <c r="A131" s="847"/>
      <c s="847"/>
      <c s="845"/>
      <c s="845"/>
      <c s="845"/>
      <c s="845"/>
      <c s="845"/>
      <c s="893"/>
      <c s="893"/>
      <c s="893"/>
      <c s="893"/>
      <c s="893"/>
      <c s="845"/>
      <c s="892"/>
      <c s="962"/>
      <c s="962"/>
      <c s="962"/>
      <c s="962"/>
      <c s="845"/>
      <c s="845"/>
      <c s="845"/>
      <c s="845"/>
      <c s="845"/>
      <c s="845"/>
      <c s="1002"/>
      <c s="848"/>
      <c s="851"/>
      <c s="848"/>
      <c s="848"/>
      <c s="848"/>
    </row>
    <row r="132" spans="1:30" ht="9" customHeight="1">
      <c r="A132" s="847"/>
      <c s="847"/>
      <c s="845"/>
      <c s="845"/>
      <c s="845"/>
      <c s="845"/>
      <c s="845"/>
      <c s="893"/>
      <c s="893"/>
      <c s="893"/>
      <c s="893"/>
      <c s="893"/>
      <c s="845"/>
      <c s="892"/>
      <c s="961"/>
      <c s="961"/>
      <c s="961"/>
      <c s="961"/>
      <c s="845"/>
      <c s="845"/>
      <c s="845"/>
      <c s="845"/>
      <c s="845"/>
      <c s="845"/>
      <c s="1002"/>
      <c s="848"/>
      <c s="851"/>
      <c s="848"/>
      <c s="848"/>
      <c s="848"/>
    </row>
    <row r="133" spans="1:30" ht="9" customHeight="1">
      <c r="A133" s="847"/>
      <c s="847"/>
      <c s="845"/>
      <c s="845"/>
      <c s="845"/>
      <c s="845"/>
      <c s="845"/>
      <c s="893"/>
      <c s="893"/>
      <c s="893"/>
      <c s="893"/>
      <c s="893"/>
      <c s="845"/>
      <c s="892"/>
      <c s="962"/>
      <c s="962"/>
      <c s="962"/>
      <c s="962"/>
      <c s="845"/>
      <c s="845"/>
      <c s="845"/>
      <c s="845"/>
      <c s="845"/>
      <c s="845"/>
      <c s="1002"/>
      <c s="848"/>
      <c s="851"/>
      <c s="848"/>
      <c s="848"/>
      <c s="848"/>
    </row>
    <row r="134" spans="1:30" ht="9" customHeight="1">
      <c r="A134" s="847"/>
      <c s="847"/>
      <c s="845"/>
      <c s="845"/>
      <c s="845"/>
      <c s="845"/>
      <c s="845"/>
      <c s="893"/>
      <c s="893"/>
      <c s="893"/>
      <c s="893"/>
      <c s="893"/>
      <c s="845"/>
      <c s="892"/>
      <c s="959"/>
      <c s="959"/>
      <c s="959"/>
      <c s="959"/>
      <c s="845"/>
      <c s="845"/>
      <c s="845"/>
      <c s="845"/>
      <c s="845"/>
      <c s="845"/>
      <c s="1002"/>
      <c s="848"/>
      <c s="851"/>
      <c s="848"/>
      <c s="848"/>
      <c s="848"/>
    </row>
    <row r="135" spans="1:30" ht="9" customHeight="1">
      <c r="A135" s="847"/>
      <c s="847"/>
      <c s="845"/>
      <c s="845"/>
      <c s="845"/>
      <c s="845"/>
      <c s="845"/>
      <c s="893"/>
      <c s="893"/>
      <c s="893"/>
      <c s="893"/>
      <c s="893"/>
      <c s="845"/>
      <c s="892"/>
      <c s="959"/>
      <c s="959"/>
      <c s="959"/>
      <c s="959"/>
      <c s="845"/>
      <c s="845"/>
      <c s="845"/>
      <c s="845"/>
      <c s="845"/>
      <c s="845"/>
      <c s="1002"/>
      <c s="848"/>
      <c s="851"/>
      <c s="848"/>
      <c s="848"/>
      <c s="848"/>
    </row>
    <row r="136" spans="1:30" ht="9" customHeight="1">
      <c r="A136" s="847"/>
      <c s="847"/>
      <c s="845"/>
      <c s="845"/>
      <c s="845"/>
      <c s="845"/>
      <c s="845"/>
      <c s="893"/>
      <c s="893"/>
      <c s="893"/>
      <c s="893"/>
      <c s="893"/>
      <c s="845"/>
      <c s="892"/>
      <c s="959"/>
      <c s="959"/>
      <c s="959"/>
      <c s="959"/>
      <c s="845"/>
      <c s="845"/>
      <c s="845"/>
      <c s="845"/>
      <c s="845"/>
      <c s="845"/>
      <c s="1002"/>
      <c s="848"/>
      <c s="851"/>
      <c s="848"/>
      <c s="848"/>
      <c s="848"/>
    </row>
    <row r="137" spans="1:30" ht="9" customHeight="1">
      <c r="A137" s="847"/>
      <c s="847"/>
      <c s="845"/>
      <c s="845"/>
      <c s="845"/>
      <c s="845"/>
      <c s="845"/>
      <c s="893"/>
      <c s="893"/>
      <c s="893"/>
      <c s="893"/>
      <c s="893"/>
      <c s="845"/>
      <c s="892"/>
      <c s="963"/>
      <c s="963"/>
      <c s="963"/>
      <c s="963"/>
      <c s="845"/>
      <c s="845"/>
      <c s="845"/>
      <c s="845"/>
      <c s="845"/>
      <c s="845"/>
      <c s="1002"/>
      <c s="848"/>
      <c s="851"/>
      <c s="848"/>
      <c s="848"/>
      <c s="848"/>
    </row>
    <row r="138" spans="1:30" ht="9" customHeight="1">
      <c r="A138" s="847"/>
      <c s="847"/>
      <c s="845"/>
      <c s="845"/>
      <c s="845"/>
      <c s="845"/>
      <c s="845"/>
      <c s="893"/>
      <c s="893"/>
      <c s="893"/>
      <c s="893"/>
      <c s="893"/>
      <c s="845"/>
      <c s="892"/>
      <c s="960"/>
      <c s="960"/>
      <c s="960"/>
      <c s="960"/>
      <c s="845"/>
      <c s="845"/>
      <c s="845"/>
      <c s="845"/>
      <c s="845"/>
      <c s="845"/>
      <c s="1002"/>
      <c s="848"/>
      <c s="851"/>
      <c s="848"/>
      <c s="848"/>
      <c s="848"/>
    </row>
    <row r="139" spans="1:30" ht="9" customHeight="1">
      <c r="A139" s="847"/>
      <c s="847"/>
      <c s="845"/>
      <c s="845"/>
      <c s="845"/>
      <c s="845"/>
      <c s="845"/>
      <c s="893"/>
      <c s="893"/>
      <c s="893"/>
      <c s="893"/>
      <c s="893"/>
      <c s="845"/>
      <c s="892"/>
      <c s="845"/>
      <c s="845"/>
      <c s="845"/>
      <c s="845"/>
      <c s="845"/>
      <c s="845"/>
      <c s="845"/>
      <c s="845"/>
      <c s="845"/>
      <c s="845"/>
      <c s="1002"/>
      <c s="848"/>
      <c s="851"/>
      <c s="848"/>
      <c s="848"/>
      <c s="848"/>
    </row>
    <row r="140" spans="1:30" ht="9" customHeight="1">
      <c r="A140" s="847"/>
      <c s="847"/>
      <c s="845"/>
      <c s="845"/>
      <c s="845"/>
      <c s="845"/>
      <c s="845"/>
      <c s="893"/>
      <c s="893"/>
      <c s="893"/>
      <c s="893"/>
      <c s="893"/>
      <c s="845"/>
      <c s="892"/>
      <c s="845"/>
      <c s="845"/>
      <c s="845"/>
      <c s="845"/>
      <c s="845"/>
      <c s="845"/>
      <c s="845"/>
      <c s="845"/>
      <c s="845"/>
      <c s="845"/>
      <c s="1002"/>
      <c s="848"/>
      <c s="851"/>
      <c s="848"/>
      <c s="848"/>
      <c s="848"/>
    </row>
    <row r="141" spans="1:30" ht="9" customHeight="1">
      <c r="A141" s="847"/>
      <c s="847"/>
      <c s="845"/>
      <c s="845"/>
      <c s="845"/>
      <c s="845"/>
      <c s="845"/>
      <c s="893"/>
      <c s="893"/>
      <c s="893"/>
      <c s="893"/>
      <c s="893"/>
      <c s="845"/>
      <c s="892"/>
      <c s="845"/>
      <c s="845"/>
      <c s="845"/>
      <c s="845"/>
      <c s="845"/>
      <c s="845"/>
      <c s="845"/>
      <c s="845"/>
      <c s="845"/>
      <c s="845"/>
      <c s="1002"/>
      <c s="848"/>
      <c s="851"/>
      <c s="848"/>
      <c s="848"/>
      <c s="848"/>
    </row>
    <row r="142" spans="1:30" ht="9" customHeight="1">
      <c r="A142" s="847"/>
      <c s="847"/>
      <c s="845"/>
      <c s="845"/>
      <c s="845"/>
      <c s="845"/>
      <c s="845"/>
      <c s="893"/>
      <c s="893"/>
      <c s="893"/>
      <c s="893"/>
      <c s="893"/>
      <c s="845"/>
      <c s="892"/>
      <c s="845"/>
      <c s="845"/>
      <c s="845"/>
      <c s="845"/>
      <c s="845"/>
      <c s="845"/>
      <c s="845"/>
      <c s="845"/>
      <c s="845"/>
      <c s="845"/>
      <c s="1002"/>
      <c s="848"/>
      <c s="851"/>
      <c s="848"/>
      <c s="848"/>
      <c s="848"/>
    </row>
    <row r="143" spans="1:30" ht="9" customHeight="1">
      <c r="A143" s="847"/>
      <c s="847"/>
      <c s="845"/>
      <c s="845"/>
      <c s="845"/>
      <c s="845"/>
      <c s="845"/>
      <c s="893"/>
      <c s="893"/>
      <c s="893"/>
      <c s="893"/>
      <c s="893"/>
      <c s="845"/>
      <c s="892"/>
      <c s="845"/>
      <c s="845"/>
      <c s="845"/>
      <c s="845"/>
      <c s="845"/>
      <c s="845"/>
      <c s="845"/>
      <c s="845"/>
      <c s="845"/>
      <c s="845"/>
      <c s="1002"/>
      <c s="848"/>
      <c s="851"/>
      <c s="848"/>
      <c s="848"/>
      <c s="848"/>
    </row>
    <row r="144" spans="1:30" ht="9" customHeight="1">
      <c r="A144" s="847"/>
      <c s="847"/>
      <c s="845"/>
      <c s="845"/>
      <c s="845"/>
      <c s="845"/>
      <c s="845"/>
      <c s="893"/>
      <c s="893"/>
      <c s="893"/>
      <c s="893"/>
      <c s="893"/>
      <c s="845"/>
      <c s="892"/>
      <c s="845"/>
      <c s="845"/>
      <c s="845"/>
      <c s="845"/>
      <c s="845"/>
      <c s="845"/>
      <c s="845"/>
      <c s="845"/>
      <c s="845"/>
      <c s="845"/>
      <c s="1002"/>
      <c s="848"/>
      <c s="851"/>
      <c s="848"/>
      <c s="848"/>
      <c s="848"/>
    </row>
    <row r="145" spans="1:30" ht="9" customHeight="1">
      <c r="A145" s="847"/>
      <c s="847"/>
      <c s="845"/>
      <c s="845"/>
      <c s="845"/>
      <c s="845"/>
      <c s="845"/>
      <c s="893"/>
      <c s="893"/>
      <c s="893"/>
      <c s="893"/>
      <c s="893"/>
      <c s="845"/>
      <c s="892"/>
      <c s="845"/>
      <c s="845"/>
      <c s="845"/>
      <c s="845"/>
      <c s="845"/>
      <c s="845"/>
      <c s="845"/>
      <c s="845"/>
      <c s="845"/>
      <c s="845"/>
      <c s="1002"/>
      <c s="848"/>
      <c s="851"/>
      <c s="848"/>
      <c s="848"/>
      <c s="848"/>
    </row>
    <row r="146" spans="1:30" ht="9" customHeight="1">
      <c r="A146" s="847"/>
      <c s="847"/>
      <c s="845"/>
      <c s="845"/>
      <c s="845"/>
      <c s="845"/>
      <c s="845"/>
      <c s="893"/>
      <c s="893"/>
      <c s="893"/>
      <c s="893"/>
      <c s="893"/>
      <c s="845"/>
      <c s="892"/>
      <c s="845"/>
      <c s="845"/>
      <c s="845"/>
      <c s="845"/>
      <c s="845"/>
      <c s="845"/>
      <c s="845"/>
      <c s="845"/>
      <c s="845"/>
      <c s="845"/>
      <c s="1002"/>
      <c s="848"/>
      <c s="851"/>
      <c s="848"/>
      <c s="848"/>
      <c s="848"/>
    </row>
    <row r="147" spans="1:30" ht="9" customHeight="1">
      <c r="A147" s="847"/>
      <c s="847"/>
      <c s="847"/>
      <c s="847"/>
      <c s="847"/>
      <c s="847"/>
      <c s="847"/>
      <c s="847"/>
      <c s="847"/>
      <c s="847"/>
      <c s="847"/>
      <c s="847"/>
      <c s="847"/>
      <c s="847"/>
      <c s="847"/>
      <c s="847"/>
      <c s="847"/>
      <c s="847"/>
      <c s="847"/>
      <c s="847"/>
      <c s="847"/>
      <c s="847"/>
      <c s="847"/>
      <c s="847"/>
      <c s="847"/>
      <c s="847"/>
      <c s="847"/>
      <c s="847"/>
      <c s="847"/>
      <c s="847"/>
    </row>
    <row r="148" spans="1:30" ht="90" customHeight="1">
      <c r="A148" s="847" t="s">
        <v>1660</v>
      </c>
      <c s="847"/>
      <c s="845" t="s">
        <v>2223</v>
      </c>
      <c s="845" t="s">
        <v>1563</v>
      </c>
      <c s="845" t="s">
        <v>1662</v>
      </c>
      <c s="845" t="s">
        <v>2224</v>
      </c>
      <c s="845"/>
      <c s="845"/>
      <c s="965"/>
      <c s="965"/>
      <c s="965"/>
      <c s="965"/>
      <c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50"/>
      <c s="845"/>
      <c s="846"/>
      <c s="846"/>
      <c s="846"/>
      <c s="845"/>
      <c s="845" t="s">
        <v>2225</v>
      </c>
      <c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6"/>
      <c s="846"/>
      <c s="845" t="s">
        <v>2226</v>
      </c>
      <c s="1002"/>
      <c s="848"/>
      <c s="851"/>
      <c s="848"/>
      <c s="848"/>
      <c s="848"/>
    </row>
    <row r="149" spans="1:30" ht="9" customHeight="1">
      <c r="A149" s="847"/>
      <c s="847"/>
      <c s="847"/>
      <c s="847"/>
      <c s="847"/>
      <c s="847"/>
      <c s="847"/>
      <c s="847"/>
      <c s="847"/>
      <c s="847"/>
      <c s="847"/>
      <c s="847"/>
      <c s="847"/>
      <c s="847"/>
      <c s="847"/>
      <c s="847"/>
      <c s="847"/>
      <c s="847"/>
      <c s="847"/>
      <c s="847"/>
      <c s="847"/>
      <c s="847"/>
      <c s="847"/>
      <c s="847"/>
      <c s="847"/>
      <c s="847"/>
      <c s="847"/>
      <c s="847"/>
      <c s="847"/>
      <c s="847"/>
    </row>
    <row r="150" spans="1:30" ht="9" customHeight="1">
      <c r="A150" s="847" t="s">
        <v>1664</v>
      </c>
      <c s="847"/>
      <c s="845"/>
      <c s="845"/>
      <c s="845"/>
      <c s="845"/>
      <c s="845"/>
      <c s="845"/>
      <c s="845"/>
      <c s="845"/>
      <c s="845"/>
      <c s="845"/>
      <c s="845"/>
      <c s="845"/>
      <c s="845"/>
      <c s="845"/>
      <c s="845"/>
      <c s="845"/>
      <c s="845"/>
      <c s="845"/>
      <c s="845"/>
      <c s="845"/>
      <c s="845"/>
      <c s="845"/>
      <c s="1002"/>
      <c s="848"/>
      <c s="851"/>
      <c s="848"/>
      <c s="848"/>
      <c s="848"/>
    </row>
    <row r="151" spans="1:30" ht="9" customHeight="1">
      <c r="A151" s="847"/>
      <c s="847"/>
      <c s="847"/>
      <c s="847"/>
      <c s="847"/>
      <c s="847"/>
      <c s="847"/>
      <c s="847"/>
      <c s="847"/>
      <c s="847"/>
      <c s="847"/>
      <c s="847"/>
      <c s="847"/>
      <c s="847"/>
      <c s="847"/>
      <c s="847"/>
      <c s="847"/>
      <c s="847"/>
      <c s="847"/>
      <c s="847"/>
      <c s="847"/>
      <c s="847"/>
      <c s="847"/>
      <c s="847"/>
      <c s="847"/>
      <c s="847"/>
      <c s="847"/>
      <c s="847"/>
      <c s="847"/>
      <c s="847"/>
    </row>
    <row r="152" spans="1:30" ht="9" customHeight="1">
      <c r="A152" s="847" t="s">
        <v>1667</v>
      </c>
      <c s="847"/>
      <c s="845"/>
      <c s="845"/>
      <c s="845"/>
      <c s="845"/>
      <c s="845"/>
      <c s="845"/>
      <c s="845"/>
      <c s="845"/>
      <c s="845"/>
      <c s="845"/>
      <c s="845"/>
      <c s="845"/>
      <c s="845"/>
      <c s="845"/>
      <c s="845"/>
      <c s="845"/>
      <c s="845"/>
      <c s="845"/>
      <c s="845"/>
      <c s="845"/>
      <c s="845"/>
      <c s="845"/>
      <c s="1002"/>
      <c s="848"/>
      <c s="851"/>
      <c s="848"/>
      <c s="848"/>
      <c s="848"/>
    </row>
    <row r="153" spans="1:30" ht="9" customHeight="1">
      <c r="A153" s="847"/>
      <c s="847"/>
      <c s="847"/>
      <c s="847"/>
      <c s="847"/>
      <c s="847"/>
      <c s="847"/>
      <c s="847"/>
      <c s="847"/>
      <c s="847"/>
      <c s="847"/>
      <c s="847"/>
      <c s="847"/>
      <c s="847"/>
      <c s="847"/>
      <c s="847"/>
      <c s="847"/>
      <c s="847"/>
      <c s="847"/>
      <c s="847"/>
      <c s="847"/>
      <c s="847"/>
      <c s="847"/>
      <c s="847"/>
      <c s="847"/>
      <c s="847"/>
      <c s="847"/>
      <c s="847"/>
      <c s="847"/>
      <c s="847"/>
    </row>
    <row r="154" spans="1:30" ht="9" customHeight="1">
      <c r="A154" s="847" t="s">
        <v>1672</v>
      </c>
      <c s="847"/>
      <c s="845"/>
      <c s="845"/>
      <c s="845"/>
      <c s="845"/>
      <c s="845"/>
      <c s="845"/>
      <c s="845"/>
      <c s="845"/>
      <c s="845"/>
      <c s="845"/>
      <c s="845"/>
      <c s="845"/>
      <c s="845"/>
      <c s="845"/>
      <c s="845"/>
      <c s="845"/>
      <c s="845"/>
      <c s="845"/>
      <c s="845"/>
      <c s="845"/>
      <c s="845"/>
      <c s="845"/>
      <c s="1002"/>
      <c s="848"/>
      <c s="851"/>
      <c s="848"/>
      <c s="848"/>
      <c s="84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12B237-730F-4E79-19D3-0.953FD911}"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2.2857142857143" style="1368" hidden="1" customWidth="1"/>
    <col min="6" max="8" width="12.2857142857143" style="1778" hidden="1" customWidth="1"/>
    <col min="9" max="9" width="3" style="2399" customWidth="1"/>
    <col min="10" max="11" width="3" style="346" customWidth="1"/>
    <col min="12" max="12" width="12" style="2409" customWidth="1"/>
    <col min="13" max="13" width="31" style="1637" customWidth="1"/>
    <col min="14" max="14" width="1" style="1637" customWidth="1"/>
    <col min="15" max="18" width="24" style="1637" customWidth="1"/>
    <col min="19" max="19" width="11" style="1637" customWidth="1"/>
    <col min="20" max="20" width="3.71428571428571" style="1637" customWidth="1"/>
    <col min="21" max="21" width="11" style="1637" customWidth="1"/>
    <col min="22" max="22" width="8.57142857142857" style="1637" customWidth="1"/>
    <col min="23" max="23" width="4" style="1637" customWidth="1"/>
    <col min="24" max="24" width="115" style="1637" customWidth="1"/>
    <col min="25" max="29" width="10" style="1644" customWidth="1"/>
    <col min="30" max="30" width="10.5714285714286" style="1637" hidden="1"/>
  </cols>
  <sheetData>
    <row r="1" spans="18:30" ht="22.5" customHeight="1" hidden="1">
      <c r="R1" s="329"/>
      <c s="329"/>
      <c r="AD1" s="1157" t="s">
        <v>14</v>
      </c>
    </row>
    <row r="2" spans="22:30" ht="14.25" customHeight="1" hidden="1">
      <c r="V2" s="329"/>
      <c r="AD2" s="1157">
        <v>0</v>
      </c>
    </row>
    <row r="3" spans="30:30" ht="14.25" customHeight="1" hidden="1">
      <c r="AD3" s="1157">
        <v>0</v>
      </c>
    </row>
    <row r="4" spans="10:30" ht="14.7" customHeight="1">
      <c r="J4" s="378"/>
      <c s="378"/>
      <c s="1277"/>
      <c s="365"/>
      <c s="365"/>
      <c s="511"/>
      <c s="511"/>
      <c s="511"/>
      <c s="511"/>
      <c s="511"/>
      <c s="511"/>
      <c s="511"/>
      <c s="511"/>
      <c r="AD4" s="1157">
        <v>14</v>
      </c>
    </row>
    <row r="5" spans="10:30" ht="67.2" customHeight="1">
      <c r="J5" s="378"/>
      <c s="378"/>
      <c s="2605" t="s">
        <v>2227</v>
      </c>
      <c s="2605"/>
      <c s="2605"/>
      <c s="2605"/>
      <c s="2605"/>
      <c s="2605"/>
      <c s="2605"/>
      <c s="2605"/>
      <c s="2605"/>
      <c s="2605"/>
      <c s="1245"/>
      <c r="AD5" s="1157">
        <v>64</v>
      </c>
    </row>
    <row r="6" spans="10:30" ht="14.7" customHeight="1">
      <c r="J6" s="378"/>
      <c s="378"/>
      <c s="2606" t="str">
        <f>IF(org=0,"Не определено",org)</f>
        <v>ГУП КК "Кубаньводкомплекс"</v>
      </c>
      <c s="2606"/>
      <c s="2606"/>
      <c s="2606"/>
      <c s="2606"/>
      <c s="2606"/>
      <c s="2606"/>
      <c s="2606"/>
      <c s="2606"/>
      <c s="2606"/>
      <c s="1245"/>
      <c r="AD6" s="1157">
        <v>14</v>
      </c>
    </row>
    <row r="7" spans="10:30" ht="14.7" customHeight="1">
      <c r="J7" s="378"/>
      <c s="378"/>
      <c s="1277"/>
      <c s="365"/>
      <c s="365"/>
      <c s="324"/>
      <c s="324"/>
      <c s="324"/>
      <c s="324"/>
      <c s="324"/>
      <c s="324"/>
      <c s="324"/>
      <c s="324"/>
      <c s="511"/>
      <c r="AD7" s="1157">
        <v>14</v>
      </c>
    </row>
    <row r="8" spans="1:30" s="1855" customFormat="1" ht="48.3" customHeight="1">
      <c r="A8" s="1370"/>
      <c s="1370"/>
      <c s="1370"/>
      <c s="1370"/>
      <c s="1370"/>
      <c s="1370"/>
      <c s="1370"/>
      <c s="1370"/>
      <c r="L8" s="1278"/>
      <c s="297" t="s">
        <v>42</v>
      </c>
      <c s="306"/>
      <c s="2253" t="str">
        <f>IF(TITLE_NAME_OR_PR_CHANGE="",IF(TITLE_NAME_OR_PR="","",TITLE_NAME_OR_PR),TITLE_NAME_OR_PR_CHANGE)</f>
        <v/>
      </c>
      <c s="2253"/>
      <c s="2253"/>
      <c s="2253"/>
      <c s="2253"/>
      <c s="2253"/>
      <c s="2253"/>
      <c s="328"/>
      <c s="328"/>
      <c s="282"/>
      <c s="370"/>
      <c s="370"/>
      <c s="370"/>
      <c s="370"/>
      <c s="370"/>
      <c s="420">
        <v>46</v>
      </c>
    </row>
    <row r="9" spans="1:30" s="1855" customFormat="1" ht="24" customHeight="1">
      <c r="A9" s="1370"/>
      <c s="1370"/>
      <c s="1370"/>
      <c s="1370"/>
      <c s="1370"/>
      <c s="1370"/>
      <c s="1370"/>
      <c s="1370"/>
      <c r="L9" s="1278"/>
      <c s="297" t="s">
        <v>423</v>
      </c>
      <c s="306"/>
      <c s="2253" t="str">
        <f>IF(TITLE_DATE_CHANGE_PERIOD="",IF(TITLE_DATE_PR="","",TITLE_DATE_PR),TITLE_DATE_CHANGE_PERIOD)</f>
        <v/>
      </c>
      <c s="2253"/>
      <c s="2253"/>
      <c s="2253"/>
      <c s="2253"/>
      <c s="2253"/>
      <c s="2253"/>
      <c s="328"/>
      <c s="328"/>
      <c s="282"/>
      <c s="370"/>
      <c s="370"/>
      <c s="370"/>
      <c s="370"/>
      <c s="370"/>
      <c s="420">
        <v>23</v>
      </c>
    </row>
    <row r="10" spans="1:30" s="1855" customFormat="1" ht="24" customHeight="1">
      <c r="A10" s="1370"/>
      <c s="1370"/>
      <c s="1370"/>
      <c s="1370"/>
      <c s="1370"/>
      <c s="1370"/>
      <c s="1370"/>
      <c s="1370"/>
      <c r="L10" s="1252"/>
      <c s="297" t="s">
        <v>424</v>
      </c>
      <c s="306"/>
      <c s="2253" t="str">
        <f>IF(TITLE_NUMBER_PR_CHANGE="",IF(TITLE_NUMBER_PR="","",TITLE_NUMBER_PR),TITLE_NUMBER_PR_CHANGE)</f>
        <v/>
      </c>
      <c s="2253"/>
      <c s="2253"/>
      <c s="2253"/>
      <c s="2253"/>
      <c s="2253"/>
      <c s="2253"/>
      <c s="328"/>
      <c s="328"/>
      <c s="282"/>
      <c s="370"/>
      <c s="370"/>
      <c s="370"/>
      <c s="370"/>
      <c s="370"/>
      <c s="420">
        <v>23</v>
      </c>
    </row>
    <row r="11" spans="1:30" s="1855" customFormat="1" ht="24" customHeight="1">
      <c r="A11" s="1370"/>
      <c s="1370"/>
      <c s="1370"/>
      <c s="1370"/>
      <c s="1370"/>
      <c s="1370"/>
      <c s="1370"/>
      <c s="1370"/>
      <c r="L11" s="1252"/>
      <c s="297" t="s">
        <v>43</v>
      </c>
      <c s="306"/>
      <c s="2253" t="str">
        <f>IF(TITLE_IST_PUB_CHANGE="",IF(TITLE_IST_PUB="","",TITLE_IST_PUB),TITLE_IST_PUB_CHANGE)</f>
        <v/>
      </c>
      <c s="2253"/>
      <c s="2253"/>
      <c s="2253"/>
      <c s="2253"/>
      <c s="2253"/>
      <c s="2253"/>
      <c s="328"/>
      <c s="328"/>
      <c s="282"/>
      <c s="370"/>
      <c s="370"/>
      <c s="370"/>
      <c s="370"/>
      <c s="370"/>
      <c s="420">
        <v>23</v>
      </c>
    </row>
    <row r="12" spans="1:30" s="1855" customFormat="1" ht="11.25" customHeight="1" hidden="1">
      <c r="A12" s="1370"/>
      <c s="1370"/>
      <c s="1370"/>
      <c s="1370"/>
      <c s="1370"/>
      <c s="1370"/>
      <c s="1370"/>
      <c s="1370"/>
      <c r="L12" s="2607"/>
      <c s="2607"/>
      <c s="1289"/>
      <c s="328"/>
      <c s="328"/>
      <c s="328"/>
      <c s="328"/>
      <c s="328"/>
      <c s="328"/>
      <c s="328"/>
      <c s="280" t="s">
        <v>427</v>
      </c>
      <c r="Y12" s="370"/>
      <c s="370"/>
      <c s="370"/>
      <c s="370"/>
      <c s="370"/>
      <c s="420">
        <v>0</v>
      </c>
    </row>
    <row r="13" spans="10:30" ht="14.7" customHeight="1">
      <c r="J13" s="378"/>
      <c s="378"/>
      <c s="1277"/>
      <c s="365"/>
      <c s="1246"/>
      <c s="2254"/>
      <c s="2254"/>
      <c s="2254"/>
      <c s="2254"/>
      <c s="2254"/>
      <c s="2254"/>
      <c s="2254"/>
      <c s="2254"/>
      <c r="AD13" s="1157">
        <v>14</v>
      </c>
    </row>
    <row r="14" spans="10:30" ht="14.7" customHeight="1">
      <c r="J14" s="378"/>
      <c s="378"/>
      <c s="2129" t="s">
        <v>300</v>
      </c>
      <c s="2129"/>
      <c s="2129"/>
      <c s="2129"/>
      <c s="2129"/>
      <c s="2129"/>
      <c s="2129"/>
      <c s="2129"/>
      <c s="2129"/>
      <c s="2129"/>
      <c s="2129"/>
      <c s="2129"/>
      <c s="2129" t="s">
        <v>301</v>
      </c>
      <c r="AD14" s="1157">
        <v>14</v>
      </c>
    </row>
    <row r="15" spans="10:30" ht="14.7" customHeight="1">
      <c r="J15" s="378"/>
      <c s="378"/>
      <c s="2275" t="s">
        <v>87</v>
      </c>
      <c s="2211" t="s">
        <v>428</v>
      </c>
      <c s="303"/>
      <c s="2276" t="s">
        <v>2228</v>
      </c>
      <c s="2277"/>
      <c s="2277"/>
      <c s="2277"/>
      <c s="2277"/>
      <c s="2277"/>
      <c s="2278"/>
      <c s="2279" t="s">
        <v>430</v>
      </c>
      <c s="2282" t="s">
        <v>1146</v>
      </c>
      <c s="2129"/>
      <c r="AD15" s="1157">
        <v>14</v>
      </c>
    </row>
    <row r="16" spans="10:30" ht="35.7" customHeight="1">
      <c r="J16" s="378"/>
      <c s="378"/>
      <c s="2275"/>
      <c s="2211"/>
      <c s="1033"/>
      <c s="2262" t="s">
        <v>433</v>
      </c>
      <c s="2262" t="s">
        <v>434</v>
      </c>
      <c s="2264" t="s">
        <v>435</v>
      </c>
      <c s="2265"/>
      <c s="2264" t="s">
        <v>449</v>
      </c>
      <c s="2271"/>
      <c s="2265"/>
      <c s="2280"/>
      <c s="2283"/>
      <c s="2129"/>
      <c r="AD16" s="1157">
        <v>34</v>
      </c>
    </row>
    <row r="17" spans="1:30" ht="35.7" customHeight="1">
      <c r="A17" s="1372" t="s">
        <v>136</v>
      </c>
      <c s="1372" t="s">
        <v>137</v>
      </c>
      <c s="1372" t="s">
        <v>138</v>
      </c>
      <c s="1372" t="s">
        <v>139</v>
      </c>
      <c s="1372"/>
      <c r="J17" s="378"/>
      <c s="378"/>
      <c s="2275"/>
      <c s="2211"/>
      <c s="304"/>
      <c s="2263"/>
      <c s="2263"/>
      <c s="1224" t="s">
        <v>444</v>
      </c>
      <c s="1224" t="s">
        <v>445</v>
      </c>
      <c s="1294" t="s">
        <v>446</v>
      </c>
      <c s="2272" t="s">
        <v>447</v>
      </c>
      <c s="2273"/>
      <c s="2281"/>
      <c s="2284"/>
      <c s="2129"/>
      <c r="AD17" s="1157">
        <v>34</v>
      </c>
    </row>
    <row r="18" spans="1:30" s="1643" customFormat="1" ht="11.55" customHeight="1">
      <c r="A18" s="1372"/>
      <c s="1372"/>
      <c s="1372"/>
      <c s="1372"/>
      <c s="1372"/>
      <c s="1364"/>
      <c s="1364"/>
      <c s="1364"/>
      <c s="1248"/>
      <c s="1249"/>
      <c s="1256">
        <v>1</v>
      </c>
      <c s="1279" t="s">
        <v>109</v>
      </c>
      <c s="1257" t="s">
        <v>110</v>
      </c>
      <c s="1247" t="str">
        <f ca="1">OFFSET(N18,0,-1)</f>
        <v>2</v>
      </c>
      <c s="1291">
        <f ca="1">OFFSET(O18,0,-1)+1</f>
        <v>3</v>
      </c>
      <c s="1291"/>
      <c s="1291">
        <f ca="1">OFFSET(Q18,0,-1)+1</f>
        <v>1</v>
      </c>
      <c s="1291">
        <f ca="1">OFFSET(R18,0,-1)+1</f>
        <v>2</v>
      </c>
      <c s="1291">
        <f ca="1">OFFSET(S18,0,-1)+1</f>
        <v>3</v>
      </c>
      <c s="2274">
        <f ca="1">OFFSET(T18,0,-1)+1</f>
        <v>4</v>
      </c>
      <c s="2274"/>
      <c s="1291">
        <f ca="1">OFFSET(V18,0,-2)+1</f>
        <v>5</v>
      </c>
      <c s="1247">
        <f ca="1">OFFSET(W18,0,-1)</f>
        <v>5</v>
      </c>
      <c s="1291">
        <f ca="1">OFFSET(X18,0,-1)+1</f>
        <v>6</v>
      </c>
      <c s="513"/>
      <c s="513"/>
      <c s="513"/>
      <c s="513"/>
      <c s="513"/>
      <c s="498">
        <v>11</v>
      </c>
    </row>
    <row r="19" spans="1:30" ht="21" customHeight="1">
      <c r="A19" s="1365" t="s">
        <v>170</v>
      </c>
      <c s="1365" t="s">
        <v>171</v>
      </c>
      <c s="1365" t="s">
        <v>172</v>
      </c>
      <c s="1365" t="s">
        <v>173</v>
      </c>
      <c s="1365"/>
      <c s="1367"/>
      <c s="1367"/>
      <c s="1367"/>
      <c s="363"/>
      <c s="362"/>
      <c s="357"/>
      <c s="1295">
        <f>INDEX(PT_DIFFERENTIATION_NUM_NTAR,MATCH(A19,PT_DIFFERENTIATION_NTAR_ID,0))</f>
        <v>0</v>
      </c>
      <c s="300" t="s">
        <v>125</v>
      </c>
      <c s="302"/>
      <c s="2608" t="str">
        <f>INDEX(PT_DIFFERENTIATION_NTAR,MATCH(A19,PT_DIFFERENTIATION_NTAR_ID,0))</f>
        <v/>
      </c>
      <c s="2608"/>
      <c s="2608"/>
      <c s="2608"/>
      <c s="2608"/>
      <c s="2608"/>
      <c s="2608"/>
      <c s="2608"/>
      <c s="2608"/>
      <c s="1260" t="s">
        <v>396</v>
      </c>
      <c r="Z19" s="502"/>
      <c s="502" t="str">
        <f>IF(M19="","",M19)</f>
        <v>Наименование тарифа</v>
      </c>
      <c s="502"/>
      <c s="502"/>
      <c s="1157">
        <v>20</v>
      </c>
    </row>
    <row r="20" spans="1:30" ht="21" customHeight="1">
      <c r="A20" s="1365" t="s">
        <v>170</v>
      </c>
      <c s="1365" t="s">
        <v>171</v>
      </c>
      <c s="1365" t="s">
        <v>172</v>
      </c>
      <c s="1365" t="s">
        <v>173</v>
      </c>
      <c s="1365"/>
      <c s="1367"/>
      <c s="1367"/>
      <c s="1367"/>
      <c s="1292"/>
      <c s="354"/>
      <c s="355"/>
      <c s="1295" t="str">
        <f>INDEX(PT_DIFFERENTIATION_NUM_TER,MATCH(B19,PT_DIFFERENTIATION_TER_ID,0))</f>
        <v>.</v>
      </c>
      <c s="310" t="s">
        <v>397</v>
      </c>
      <c s="302"/>
      <c s="2608" t="str">
        <f>INDEX(PT_DIFFERENTIATION_TER,MATCH(B19,PT_DIFFERENTIATION_TER_ID,0))</f>
        <v/>
      </c>
      <c s="2608"/>
      <c s="2608"/>
      <c s="2608"/>
      <c s="2608"/>
      <c s="2608"/>
      <c s="2608"/>
      <c s="2608"/>
      <c s="2608"/>
      <c s="1260" t="s">
        <v>398</v>
      </c>
      <c r="Z20" s="502"/>
      <c s="502" t="str">
        <f>IF(M20="","",M20)</f>
        <v>Территория действия тарифа</v>
      </c>
      <c s="502"/>
      <c s="502"/>
      <c s="1157">
        <v>20</v>
      </c>
    </row>
    <row r="21" spans="1:30" ht="24" customHeight="1">
      <c r="A21" s="1365" t="s">
        <v>170</v>
      </c>
      <c s="1365" t="s">
        <v>171</v>
      </c>
      <c s="1365" t="s">
        <v>172</v>
      </c>
      <c s="1365" t="s">
        <v>173</v>
      </c>
      <c s="1365"/>
      <c s="1367"/>
      <c s="1367"/>
      <c s="1367"/>
      <c s="356"/>
      <c s="354"/>
      <c s="355"/>
      <c s="1295" t="str">
        <f>INDEX(PT_DIFFERENTIATION_NUM_CS,MATCH(C19,PT_DIFFERENTIATION_CS_ID,0))</f>
        <v>..</v>
      </c>
      <c s="311" t="s">
        <v>399</v>
      </c>
      <c s="302"/>
      <c s="2608" t="str">
        <f>INDEX(PT_DIFFERENTIATION_CS,MATCH(C19,PT_DIFFERENTIATION_CS_ID,0))</f>
        <v/>
      </c>
      <c s="2608"/>
      <c s="2608"/>
      <c s="2608"/>
      <c s="2608"/>
      <c s="2608"/>
      <c s="2608"/>
      <c s="2608"/>
      <c s="2608"/>
      <c s="1260" t="s">
        <v>400</v>
      </c>
      <c r="Z21" s="502"/>
      <c s="502" t="str">
        <f>IF(M21="","",M21)</f>
        <v>Наименование системы теплоснабжения</v>
      </c>
      <c s="502"/>
      <c s="502"/>
      <c s="1157">
        <v>23</v>
      </c>
    </row>
    <row r="22" spans="1:30" ht="21" customHeight="1">
      <c r="A22" s="1365" t="s">
        <v>170</v>
      </c>
      <c s="1365" t="s">
        <v>171</v>
      </c>
      <c s="1365" t="s">
        <v>172</v>
      </c>
      <c s="1365" t="s">
        <v>173</v>
      </c>
      <c s="1365"/>
      <c s="1367"/>
      <c s="1367"/>
      <c s="1367"/>
      <c s="356"/>
      <c s="354"/>
      <c s="355"/>
      <c s="1295" t="str">
        <f>INDEX(PT_DIFFERENTIATION_NUM_IST_TE,MATCH(D19,PT_DIFFERENTIATION_IST_TE_ID,0))</f>
        <v>...</v>
      </c>
      <c s="312" t="s">
        <v>401</v>
      </c>
      <c s="302"/>
      <c s="2608" t="str">
        <f>INDEX(PT_DIFFERENTIATION_IST_TE,MATCH(D19,PT_DIFFERENTIATION_IST_TE_ID,0))</f>
        <v/>
      </c>
      <c s="2608"/>
      <c s="2608"/>
      <c s="2608"/>
      <c s="2608"/>
      <c s="2608"/>
      <c s="2608"/>
      <c s="2608"/>
      <c s="2608"/>
      <c s="1260" t="s">
        <v>402</v>
      </c>
      <c r="Z22" s="502"/>
      <c s="502" t="str">
        <f>IF(M22="","",M22)</f>
        <v>Источник тепловой энергии</v>
      </c>
      <c s="502"/>
      <c s="502"/>
      <c s="1157">
        <v>20</v>
      </c>
    </row>
    <row r="23" spans="1:30" ht="96.75" customHeight="1">
      <c r="A23" s="1365" t="s">
        <v>170</v>
      </c>
      <c s="1365" t="s">
        <v>171</v>
      </c>
      <c s="1365" t="s">
        <v>172</v>
      </c>
      <c s="1365" t="s">
        <v>173</v>
      </c>
      <c s="1365"/>
      <c s="2609" t="str">
        <f>L22&amp;".1"</f>
        <v>....1</v>
      </c>
      <c r="I23" s="2259">
        <v>1</v>
      </c>
      <c s="1293"/>
      <c s="358"/>
      <c s="1295" t="str">
        <f>$F$23</f>
        <v>....1</v>
      </c>
      <c s="287" t="s">
        <v>404</v>
      </c>
      <c s="302"/>
      <c s="2307"/>
      <c s="2307"/>
      <c s="2307"/>
      <c s="2307"/>
      <c s="2307"/>
      <c s="2307"/>
      <c s="2307"/>
      <c s="2307"/>
      <c s="2307"/>
      <c s="1260" t="s">
        <v>405</v>
      </c>
      <c r="Z23" s="502"/>
      <c s="502" t="str">
        <f>IF(M23="","",M23)</f>
        <v>Схема подключения теплопотребляющей установки к коллектору источника тепловой энергии</v>
      </c>
      <c s="502"/>
      <c s="502"/>
      <c s="1157">
        <v>92</v>
      </c>
    </row>
    <row r="24" spans="1:30" ht="86.25" customHeight="1">
      <c r="A24" s="1365" t="s">
        <v>170</v>
      </c>
      <c s="1365" t="s">
        <v>171</v>
      </c>
      <c s="1365" t="s">
        <v>172</v>
      </c>
      <c s="1365" t="s">
        <v>173</v>
      </c>
      <c s="1365"/>
      <c s="2609"/>
      <c s="2219" t="str">
        <f>F23&amp;".1"</f>
        <v>....1.1</v>
      </c>
      <c r="I24" s="2259"/>
      <c s="2259">
        <v>1</v>
      </c>
      <c s="359"/>
      <c s="1295" t="str">
        <f>$G$24</f>
        <v>....1.1</v>
      </c>
      <c s="288" t="s">
        <v>407</v>
      </c>
      <c s="302"/>
      <c s="2247"/>
      <c s="2248"/>
      <c s="2248"/>
      <c s="2248"/>
      <c s="2248"/>
      <c s="2248"/>
      <c s="2248"/>
      <c s="2248"/>
      <c s="2249"/>
      <c s="1260" t="s">
        <v>408</v>
      </c>
      <c r="Z24" s="502"/>
      <c s="502" t="str">
        <f>IF(M24="","",M24)</f>
        <v>Группа потребителей</v>
      </c>
      <c s="502"/>
      <c s="502"/>
      <c s="1157">
        <v>82</v>
      </c>
    </row>
    <row r="25" spans="1:30" ht="11.55" customHeight="1">
      <c r="A25" s="1365" t="s">
        <v>170</v>
      </c>
      <c s="1365" t="s">
        <v>171</v>
      </c>
      <c s="1365" t="s">
        <v>172</v>
      </c>
      <c s="1365" t="s">
        <v>173</v>
      </c>
      <c s="1365"/>
      <c s="2609"/>
      <c s="2219"/>
      <c s="2219" t="str">
        <f>G24&amp;".1"</f>
        <v>....1.1.1</v>
      </c>
      <c s="2259"/>
      <c s="2259"/>
      <c s="359">
        <v>1</v>
      </c>
      <c s="1295" t="str">
        <f>$H$25</f>
        <v>....1.1.1</v>
      </c>
      <c s="1349"/>
      <c s="302"/>
      <c s="753"/>
      <c s="327"/>
      <c s="753"/>
      <c s="1259"/>
      <c s="2604"/>
      <c s="2109" t="s">
        <v>65</v>
      </c>
      <c s="2604"/>
      <c s="2109" t="s">
        <v>19</v>
      </c>
      <c s="327"/>
      <c s="2255" t="s">
        <v>410</v>
      </c>
      <c s="513">
        <f>STRCHECKDATE(O26:W26)</f>
      </c>
      <c s="502"/>
      <c s="502" t="str">
        <f>IF(M25="","",M25)</f>
        <v/>
      </c>
      <c s="502"/>
      <c s="502"/>
      <c s="1157">
        <v>11</v>
      </c>
    </row>
    <row r="26" spans="1:30" ht="11.55" customHeight="1">
      <c r="A26" s="1365" t="s">
        <v>170</v>
      </c>
      <c s="1365" t="s">
        <v>171</v>
      </c>
      <c s="1365" t="s">
        <v>172</v>
      </c>
      <c s="1365" t="s">
        <v>173</v>
      </c>
      <c s="1365"/>
      <c s="2609"/>
      <c s="2219"/>
      <c s="2219"/>
      <c s="2259"/>
      <c s="2259"/>
      <c s="359"/>
      <c s="1296"/>
      <c s="302"/>
      <c s="302"/>
      <c s="327"/>
      <c s="327"/>
      <c s="327"/>
      <c s="330" t="str">
        <f>S25&amp;"-"&amp;U25</f>
        <v>-</v>
      </c>
      <c s="2268"/>
      <c s="2109"/>
      <c s="2268"/>
      <c s="2109"/>
      <c s="327"/>
      <c s="2256"/>
      <c r="Z26" s="502"/>
      <c s="502" t="str">
        <f>IF(M26="","",M26)</f>
        <v/>
      </c>
      <c s="502"/>
      <c s="502"/>
      <c s="1157">
        <v>11</v>
      </c>
    </row>
    <row r="27" spans="1:30" ht="15.75" customHeight="1">
      <c r="A27" s="1365" t="s">
        <v>170</v>
      </c>
      <c s="1365" t="s">
        <v>171</v>
      </c>
      <c s="1365" t="s">
        <v>172</v>
      </c>
      <c s="1365" t="s">
        <v>173</v>
      </c>
      <c s="1365"/>
      <c s="2609"/>
      <c s="2219"/>
      <c r="I27" s="2259"/>
      <c s="2259"/>
      <c s="358"/>
      <c s="1280"/>
      <c s="290" t="s">
        <v>411</v>
      </c>
      <c s="369"/>
      <c s="369"/>
      <c s="369"/>
      <c s="369"/>
      <c s="369"/>
      <c s="369"/>
      <c s="369"/>
      <c s="369"/>
      <c s="369"/>
      <c s="326"/>
      <c s="2257"/>
      <c r="Z27" s="502"/>
      <c s="502" t="str">
        <f>IF(M27="","",M27)</f>
        <v>Добавить вид теплоносителя (параметры теплоносителя)</v>
      </c>
      <c s="502"/>
      <c s="502"/>
      <c s="1157">
        <v>15</v>
      </c>
    </row>
    <row r="28" spans="1:30" ht="15.75" customHeight="1">
      <c r="A28" s="1365" t="s">
        <v>170</v>
      </c>
      <c s="1365" t="s">
        <v>171</v>
      </c>
      <c s="1365" t="s">
        <v>172</v>
      </c>
      <c s="1365" t="s">
        <v>173</v>
      </c>
      <c s="1365"/>
      <c s="2609"/>
      <c r="I28" s="2259"/>
      <c s="1293"/>
      <c s="358"/>
      <c s="1280"/>
      <c s="289" t="s">
        <v>412</v>
      </c>
      <c s="369"/>
      <c s="369"/>
      <c s="369"/>
      <c s="369"/>
      <c s="369"/>
      <c s="369"/>
      <c s="369"/>
      <c s="369"/>
      <c s="368"/>
      <c s="369"/>
      <c s="305"/>
      <c r="Z28" s="502"/>
      <c s="502" t="str">
        <f>IF(M28="","",M28)</f>
        <v>Добавить группу потребителей</v>
      </c>
      <c s="502"/>
      <c s="502"/>
      <c s="1157">
        <v>15</v>
      </c>
    </row>
    <row r="29" spans="1:30" ht="14.7" customHeight="1">
      <c r="A29" s="1365" t="s">
        <v>170</v>
      </c>
      <c s="1365" t="s">
        <v>171</v>
      </c>
      <c s="1365" t="s">
        <v>172</v>
      </c>
      <c s="1365" t="s">
        <v>173</v>
      </c>
      <c s="1365"/>
      <c s="1367"/>
      <c s="1367"/>
      <c s="539"/>
      <c s="362"/>
      <c s="377"/>
      <c s="357"/>
      <c s="1280"/>
      <c s="367" t="s">
        <v>413</v>
      </c>
      <c s="369"/>
      <c s="369"/>
      <c s="369"/>
      <c s="369"/>
      <c s="369"/>
      <c s="369"/>
      <c s="369"/>
      <c s="369"/>
      <c s="368"/>
      <c s="369"/>
      <c s="305"/>
      <c r="Z29" s="502"/>
      <c s="502" t="str">
        <f>IF(M29="","",M29)</f>
        <v>Добавить схему подключения</v>
      </c>
      <c s="502"/>
      <c s="502"/>
      <c s="1157">
        <v>14</v>
      </c>
    </row>
    <row r="30" spans="1:30" ht="14.7" customHeight="1">
      <c r="A30" s="1365" t="s">
        <v>170</v>
      </c>
      <c s="1365" t="s">
        <v>171</v>
      </c>
      <c s="1365" t="s">
        <v>172</v>
      </c>
      <c s="1365"/>
      <c s="1365" t="s">
        <v>586</v>
      </c>
      <c s="1367"/>
      <c s="1367"/>
      <c s="539"/>
      <c s="362"/>
      <c s="377"/>
      <c s="357"/>
      <c s="1281"/>
      <c s="1270"/>
      <c s="1271"/>
      <c s="1271"/>
      <c s="1271"/>
      <c s="1271"/>
      <c s="1271"/>
      <c s="1271"/>
      <c s="1271"/>
      <c s="1271"/>
      <c s="1272"/>
      <c s="1271"/>
      <c s="1273"/>
      <c r="Z30" s="502"/>
      <c s="502" t="str">
        <f>IF(M30="","",M30)</f>
        <v/>
      </c>
      <c s="502"/>
      <c s="502"/>
      <c s="1157">
        <v>14</v>
      </c>
    </row>
    <row r="31" spans="1:30" ht="14.7" customHeight="1">
      <c r="A31" s="1365" t="s">
        <v>170</v>
      </c>
      <c s="1365" t="s">
        <v>171</v>
      </c>
      <c s="1365"/>
      <c s="1365"/>
      <c s="1365" t="s">
        <v>2229</v>
      </c>
      <c s="1519"/>
      <c s="1519"/>
      <c s="539"/>
      <c s="360"/>
      <c s="377"/>
      <c s="361"/>
      <c s="1281"/>
      <c s="1274"/>
      <c s="1271"/>
      <c s="1271"/>
      <c s="1271"/>
      <c s="1271"/>
      <c s="1271"/>
      <c s="1271"/>
      <c s="1271"/>
      <c s="1271"/>
      <c s="1272"/>
      <c s="1271"/>
      <c s="1273"/>
      <c r="Z31" s="502"/>
      <c s="502" t="str">
        <f>IF(M31="","",M31)</f>
        <v/>
      </c>
      <c s="502"/>
      <c s="502"/>
      <c s="1157">
        <v>14</v>
      </c>
    </row>
    <row r="32" spans="1:30" ht="14.7" customHeight="1">
      <c r="A32" s="1365" t="s">
        <v>2230</v>
      </c>
      <c s="1365"/>
      <c s="1365"/>
      <c s="1365"/>
      <c s="1365" t="s">
        <v>104</v>
      </c>
      <c s="1519"/>
      <c s="1519"/>
      <c s="539"/>
      <c s="362"/>
      <c s="377"/>
      <c s="357"/>
      <c s="1281"/>
      <c s="1275"/>
      <c s="1271"/>
      <c s="1271"/>
      <c s="1271"/>
      <c s="1271"/>
      <c s="1271"/>
      <c s="1271"/>
      <c s="1271"/>
      <c s="1271"/>
      <c s="1272"/>
      <c s="1271"/>
      <c s="1273"/>
      <c r="Z32" s="502"/>
      <c s="502" t="str">
        <f>IF(M32="","",M32)</f>
        <v/>
      </c>
      <c s="502"/>
      <c s="502"/>
      <c s="1157">
        <v>14</v>
      </c>
    </row>
    <row r="33" spans="1:30" s="1852" customFormat="1" ht="11.55" customHeight="1">
      <c r="A33" s="1365"/>
      <c s="1365"/>
      <c s="1365"/>
      <c s="1365"/>
      <c s="1365" t="s">
        <v>448</v>
      </c>
      <c s="1520"/>
      <c s="1521"/>
      <c s="539"/>
      <c r="L33" s="1282"/>
      <c s="1276"/>
      <c s="1271"/>
      <c s="1271"/>
      <c s="1271"/>
      <c s="1271"/>
      <c s="1271"/>
      <c s="1271"/>
      <c s="1271"/>
      <c s="1271"/>
      <c s="1272"/>
      <c s="1271"/>
      <c s="1273"/>
      <c s="381"/>
      <c s="381"/>
      <c s="381"/>
      <c s="381"/>
      <c s="381"/>
      <c s="375">
        <v>11</v>
      </c>
    </row>
    <row r="34" spans="6:30" ht="11.55" customHeight="1">
      <c r="F34" s="1162"/>
      <c s="1162"/>
      <c s="539"/>
      <c s="1157"/>
      <c s="1157"/>
      <c s="1157"/>
      <c r="Y34" s="1157"/>
      <c s="1157"/>
      <c s="1157"/>
      <c s="1157"/>
      <c s="1157"/>
      <c s="1157">
        <v>11</v>
      </c>
    </row>
    <row r="35" spans="8:30" ht="28.5" customHeight="1">
      <c r="H35" s="539"/>
      <c r="L35" s="1290" t="s">
        <v>804</v>
      </c>
      <c s="2287" t="s">
        <v>2231</v>
      </c>
      <c s="2287"/>
      <c s="2287"/>
      <c s="2287"/>
      <c s="2287"/>
      <c s="2287"/>
      <c s="2287"/>
      <c s="2287"/>
      <c s="2287"/>
      <c s="2287"/>
      <c s="2287"/>
      <c s="2287"/>
      <c r="AD35" s="1157">
        <v>27</v>
      </c>
    </row>
    <row r="36" spans="8:30" ht="109.2" customHeight="1">
      <c r="H36" s="539"/>
      <c s="1305"/>
      <c r="M36" s="2287" t="s">
        <v>2232</v>
      </c>
      <c s="2287"/>
      <c s="2287"/>
      <c s="2287"/>
      <c s="2287"/>
      <c s="2287"/>
      <c s="2287"/>
      <c s="2287"/>
      <c s="2287"/>
      <c s="2287"/>
      <c s="2287"/>
      <c s="2287"/>
      <c r="AD36" s="1157">
        <v>104</v>
      </c>
    </row>
    <row r="37" spans="8:30" ht="14.7" customHeight="1">
      <c r="H37" s="539"/>
      <c r="AD37" s="1157">
        <v>14</v>
      </c>
    </row>
    <row r="38" spans="8:30" ht="14.7" customHeight="1">
      <c r="H38" s="539"/>
      <c r="AD38" s="1157">
        <v>14</v>
      </c>
    </row>
    <row r="39" spans="8:30" ht="14.7" customHeight="1">
      <c r="H39" s="539"/>
      <c r="AD39" s="1157">
        <v>14</v>
      </c>
    </row>
    <row r="40" spans="8:30" ht="14.7" customHeight="1">
      <c r="H40" s="539"/>
      <c r="AD40" s="1157">
        <v>14</v>
      </c>
    </row>
    <row r="41" spans="1:30" ht="22.5" customHeight="1" hidden="1">
      <c r="A41" s="1162" t="s">
        <v>81</v>
      </c>
      <c s="1162">
        <v>0</v>
      </c>
      <c s="1162">
        <v>0</v>
      </c>
      <c s="1162">
        <v>0</v>
      </c>
      <c s="1162">
        <v>0</v>
      </c>
      <c s="1364">
        <v>0</v>
      </c>
      <c s="1364">
        <v>0</v>
      </c>
      <c s="1364">
        <v>0</v>
      </c>
      <c s="1288">
        <v>3</v>
      </c>
      <c s="346">
        <v>3</v>
      </c>
      <c s="346">
        <v>3</v>
      </c>
      <c s="583">
        <v>12</v>
      </c>
      <c s="1157">
        <v>31</v>
      </c>
      <c s="1157">
        <v>1</v>
      </c>
      <c s="1157">
        <v>24</v>
      </c>
      <c s="1157">
        <v>24</v>
      </c>
      <c s="1157">
        <v>24</v>
      </c>
      <c s="1157">
        <v>24</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promptTitle="checkPeriodRange" sqref="R26 R65562 R131098 R196634 R262170 R327706 R393242 R458778 R524314 R589850 R655386 R720922 R786458 R851994 R917530 R983066"/>
    <dataValidation allowBlank="1" sqref="L65563:X65569 L131099:X131105 L196635:X196641 L262171:X262177 L327707:X327713 L393243:X393249 L458779:X458785 L524315:X524321 L589851:X589857 L655387:X655393 L720923:X720929 L786459:X786465 L851995:X852001 L917531:X917537 L983067:X983073"/>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E2976-07F9-33A6-6E3E-0.9C75A07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92DA079-A4E4-21FA-87DB-0.ABDF7403}"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38DEB37-0994-853C-B1EC-0.AABE3A9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3A4A869-04C5-F943-3A66-0.8A508A3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D66536A-1D96-DEAF-186B-0.63B5EA5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E0CB2B4-A146-9F09-0D73-0.1506AB5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137CCB7-3545-78CA-A82D-0.E89EBE1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E7EF46-04B9-7721-93BD-0.E7FF3BCF}"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8"/>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8322A78-C063-D08E-72CA-0.F7134FB5}" mc:Ignorable="x14ac xr xr2 xr3">
  <dimension ref="A1:E8"/>
  <sheetViews>
    <sheetView showGridLines="0" workbookViewId="0" topLeftCell="A1">
      <selection pane="topLeft" activeCell="A1" sqref="A1"/>
    </sheetView>
  </sheetViews>
  <sheetFormatPr defaultRowHeight="11.25" customHeight="1"/>
  <cols>
    <col min="1" max="1" width="10.5714285714286" style="66" customWidth="1"/>
    <col min="2" max="2" width="8.71428571428571" style="66" customWidth="1"/>
    <col min="3" max="3" width="18.1428571428571" style="66" customWidth="1"/>
    <col min="4" max="4" width="12.5714285714286" style="66" customWidth="1"/>
  </cols>
  <sheetData>
    <row r="1" spans="1:5" ht="11.25" customHeight="1">
      <c r="A1" s="2617" t="s">
        <v>2233</v>
      </c>
      <c s="2618" t="s">
        <v>2234</v>
      </c>
      <c s="2619" t="s">
        <v>2235</v>
      </c>
      <c s="2620"/>
      <c s="838" t="s">
        <v>2236</v>
      </c>
    </row>
    <row r="2" spans="1:5" ht="11.25" customHeight="1">
      <c r="A2" s="2621"/>
      <c s="767" t="s">
        <v>27</v>
      </c>
      <c s="755"/>
      <c s="766"/>
      <c s="838"/>
    </row>
    <row r="3" spans="1:5" ht="11.25" customHeight="1">
      <c r="A3" s="2622"/>
      <c s="2623" t="s">
        <v>33</v>
      </c>
      <c s="755"/>
      <c s="766"/>
      <c s="838"/>
    </row>
    <row r="4" spans="1:5" ht="11.25" customHeight="1">
      <c r="A4" s="2624"/>
      <c s="768" t="s">
        <v>1660</v>
      </c>
      <c s="755"/>
      <c s="766"/>
      <c s="838"/>
    </row>
    <row r="5" spans="1:5" ht="11.25" customHeight="1">
      <c r="A5" s="2625"/>
      <c s="768" t="s">
        <v>1654</v>
      </c>
      <c s="2626" t="s">
        <v>2000</v>
      </c>
      <c s="2627" t="s">
        <v>2237</v>
      </c>
      <c s="838"/>
    </row>
    <row r="6" spans="1:5" s="1852" customFormat="1" ht="11.25" customHeight="1">
      <c r="A6" s="2628"/>
      <c s="768" t="s">
        <v>1664</v>
      </c>
      <c s="755"/>
      <c s="766"/>
      <c s="838"/>
    </row>
    <row r="7" spans="1:5" ht="11.25" customHeight="1">
      <c r="A7" s="2629"/>
      <c s="768" t="s">
        <v>1672</v>
      </c>
      <c s="755"/>
      <c s="766"/>
      <c s="838"/>
    </row>
    <row r="8" spans="1:5" ht="11.25" customHeight="1">
      <c r="A8" s="758"/>
      <c s="768" t="s">
        <v>1667</v>
      </c>
      <c s="755"/>
      <c s="766"/>
      <c s="838"/>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938C23B-264B-694E-4EEB-0.71FC51B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A5E2AA6-2C97-FB2F-045B-0.D2DB261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E9C7032-8B3C-ECF8-5B8E-0.D1BBCA54}" mc:Ignorable="x14ac xr xr2 xr3">
  <sheetPr>
    <tabColor rgb="FFFFCC99"/>
  </sheetPr>
  <dimension ref="A1:I1218"/>
  <sheetViews>
    <sheetView showGridLines="0" workbookViewId="0" topLeftCell="A1">
      <selection pane="topLeft" activeCell="A1" sqref="A1"/>
    </sheetView>
  </sheetViews>
  <sheetFormatPr defaultColWidth="9.14428571428571" defaultRowHeight="11.25" customHeight="1"/>
  <cols>
    <col min="1" max="2" width="9.14285714285714" style="1852"/>
    <col min="3" max="3" width="20.7142857142857" style="1852" customWidth="1"/>
    <col min="4" max="4" width="25.1428571428571" style="1852" customWidth="1"/>
    <col min="5" max="9" width="9.14285714285714" style="1852"/>
  </cols>
  <sheetData>
    <row r="1" spans="1:9" ht="11.25" customHeight="1">
      <c r="A1" s="70" t="s">
        <v>2238</v>
      </c>
      <c s="70" t="s">
        <v>2239</v>
      </c>
      <c s="70" t="s">
        <v>2240</v>
      </c>
      <c s="70" t="s">
        <v>2241</v>
      </c>
      <c s="70" t="s">
        <v>2242</v>
      </c>
      <c s="70" t="s">
        <v>2243</v>
      </c>
      <c s="70" t="s">
        <v>2244</v>
      </c>
      <c s="70" t="s">
        <v>2245</v>
      </c>
      <c s="70" t="s">
        <v>2246</v>
      </c>
    </row>
    <row r="2" spans="1:9" ht="11.25" customHeight="1">
      <c r="A2" s="1852" t="s">
        <v>2247</v>
      </c>
      <c s="1852" t="s">
        <v>16</v>
      </c>
      <c s="1852" t="s">
        <v>22</v>
      </c>
      <c s="1852" t="s">
        <v>2248</v>
      </c>
      <c s="1852" t="s">
        <v>2249</v>
      </c>
      <c s="1852" t="s">
        <v>2250</v>
      </c>
      <c s="1852" t="s">
        <v>22</v>
      </c>
      <c s="1852" t="s">
        <v>22</v>
      </c>
      <c s="1852" t="s">
        <v>808</v>
      </c>
    </row>
    <row r="3" spans="1:9" ht="11.25" customHeight="1">
      <c r="A3" s="1852" t="s">
        <v>2247</v>
      </c>
      <c s="1852" t="s">
        <v>16</v>
      </c>
      <c s="1852" t="s">
        <v>22</v>
      </c>
      <c s="1852" t="s">
        <v>2251</v>
      </c>
      <c s="1852" t="s">
        <v>2252</v>
      </c>
      <c s="1852" t="s">
        <v>2253</v>
      </c>
      <c s="1852" t="s">
        <v>22</v>
      </c>
      <c s="1852" t="s">
        <v>22</v>
      </c>
      <c s="1852" t="s">
        <v>808</v>
      </c>
    </row>
    <row r="4" spans="1:9" ht="11.25" customHeight="1">
      <c r="A4" s="1852" t="s">
        <v>2247</v>
      </c>
      <c s="1852" t="s">
        <v>16</v>
      </c>
      <c s="1852" t="s">
        <v>22</v>
      </c>
      <c s="1852" t="s">
        <v>2254</v>
      </c>
      <c s="1852" t="s">
        <v>2255</v>
      </c>
      <c s="1852" t="s">
        <v>2256</v>
      </c>
      <c s="1852" t="s">
        <v>22</v>
      </c>
      <c s="1852" t="s">
        <v>22</v>
      </c>
      <c s="1852" t="s">
        <v>808</v>
      </c>
    </row>
    <row r="5" spans="1:9" ht="11.25" customHeight="1">
      <c r="A5" s="1852" t="s">
        <v>2247</v>
      </c>
      <c s="1852" t="s">
        <v>16</v>
      </c>
      <c s="1852" t="s">
        <v>22</v>
      </c>
      <c s="1852" t="s">
        <v>2257</v>
      </c>
      <c s="1852" t="s">
        <v>2258</v>
      </c>
      <c s="1852" t="s">
        <v>2259</v>
      </c>
      <c s="1852" t="s">
        <v>22</v>
      </c>
      <c s="1852" t="s">
        <v>22</v>
      </c>
      <c s="1852" t="s">
        <v>808</v>
      </c>
    </row>
    <row r="6" spans="1:9" ht="11.25" customHeight="1">
      <c r="A6" s="1852" t="s">
        <v>2247</v>
      </c>
      <c s="1852" t="s">
        <v>16</v>
      </c>
      <c s="1852" t="s">
        <v>22</v>
      </c>
      <c s="1852" t="s">
        <v>2260</v>
      </c>
      <c s="1852" t="s">
        <v>2261</v>
      </c>
      <c s="1852" t="s">
        <v>2262</v>
      </c>
      <c s="1852" t="s">
        <v>22</v>
      </c>
      <c s="1852" t="s">
        <v>22</v>
      </c>
      <c s="1852" t="s">
        <v>808</v>
      </c>
    </row>
    <row r="7" spans="1:9" ht="11.25" customHeight="1">
      <c r="A7" s="1852" t="s">
        <v>2247</v>
      </c>
      <c s="1852" t="s">
        <v>16</v>
      </c>
      <c s="1852" t="s">
        <v>22</v>
      </c>
      <c s="1852" t="s">
        <v>2263</v>
      </c>
      <c s="1852" t="s">
        <v>2264</v>
      </c>
      <c s="1852" t="s">
        <v>2265</v>
      </c>
      <c s="1852" t="s">
        <v>22</v>
      </c>
      <c s="1852" t="s">
        <v>22</v>
      </c>
      <c s="1852" t="s">
        <v>808</v>
      </c>
    </row>
    <row r="8" spans="1:9" ht="11.25" customHeight="1">
      <c r="A8" s="1852" t="s">
        <v>2247</v>
      </c>
      <c s="1852" t="s">
        <v>16</v>
      </c>
      <c s="1852" t="s">
        <v>2266</v>
      </c>
      <c s="1852" t="s">
        <v>2267</v>
      </c>
      <c s="1852" t="s">
        <v>2268</v>
      </c>
      <c s="1852" t="s">
        <v>2259</v>
      </c>
      <c s="1852" t="s">
        <v>22</v>
      </c>
      <c s="1852" t="s">
        <v>22</v>
      </c>
      <c s="1852" t="s">
        <v>808</v>
      </c>
    </row>
    <row r="9" spans="1:9" ht="11.25" customHeight="1">
      <c r="A9" s="1852" t="s">
        <v>2247</v>
      </c>
      <c s="1852" t="s">
        <v>16</v>
      </c>
      <c s="1852" t="s">
        <v>2269</v>
      </c>
      <c s="1852" t="s">
        <v>2270</v>
      </c>
      <c s="1852" t="s">
        <v>2271</v>
      </c>
      <c s="1852" t="s">
        <v>2272</v>
      </c>
      <c s="1852" t="s">
        <v>2273</v>
      </c>
      <c s="1852" t="s">
        <v>22</v>
      </c>
      <c s="1852" t="s">
        <v>808</v>
      </c>
    </row>
    <row r="10" spans="1:9" ht="11.25" customHeight="1">
      <c r="A10" s="1852" t="s">
        <v>2247</v>
      </c>
      <c s="1852" t="s">
        <v>16</v>
      </c>
      <c s="1852" t="s">
        <v>2274</v>
      </c>
      <c s="1852" t="s">
        <v>2275</v>
      </c>
      <c s="1852" t="s">
        <v>2276</v>
      </c>
      <c s="1852" t="s">
        <v>2277</v>
      </c>
      <c s="1852" t="s">
        <v>22</v>
      </c>
      <c s="1852" t="s">
        <v>22</v>
      </c>
      <c s="1852" t="s">
        <v>808</v>
      </c>
    </row>
    <row r="11" spans="1:9" ht="11.25" customHeight="1">
      <c r="A11" s="1852" t="s">
        <v>2247</v>
      </c>
      <c s="1852" t="s">
        <v>16</v>
      </c>
      <c s="1852" t="s">
        <v>2278</v>
      </c>
      <c s="1852" t="s">
        <v>2279</v>
      </c>
      <c s="1852" t="s">
        <v>2280</v>
      </c>
      <c s="1852" t="s">
        <v>2281</v>
      </c>
      <c s="1852" t="s">
        <v>2282</v>
      </c>
      <c s="1852" t="s">
        <v>22</v>
      </c>
      <c s="1852" t="s">
        <v>808</v>
      </c>
    </row>
    <row r="12" spans="1:9" ht="11.25" customHeight="1">
      <c r="A12" s="1852" t="s">
        <v>2247</v>
      </c>
      <c s="1852" t="s">
        <v>16</v>
      </c>
      <c s="1852" t="s">
        <v>2283</v>
      </c>
      <c s="1852" t="s">
        <v>2284</v>
      </c>
      <c s="1852" t="s">
        <v>2285</v>
      </c>
      <c s="1852" t="s">
        <v>2286</v>
      </c>
      <c s="1852" t="s">
        <v>2287</v>
      </c>
      <c s="1852" t="s">
        <v>22</v>
      </c>
      <c s="1852" t="s">
        <v>808</v>
      </c>
    </row>
    <row r="13" spans="1:9" ht="11.25" customHeight="1">
      <c r="A13" s="1852" t="s">
        <v>2247</v>
      </c>
      <c s="1852" t="s">
        <v>16</v>
      </c>
      <c s="1852" t="s">
        <v>2288</v>
      </c>
      <c s="1852" t="s">
        <v>2289</v>
      </c>
      <c s="1852" t="s">
        <v>2290</v>
      </c>
      <c s="1852" t="s">
        <v>2291</v>
      </c>
      <c s="1852" t="s">
        <v>2292</v>
      </c>
      <c s="1852" t="s">
        <v>22</v>
      </c>
      <c s="1852" t="s">
        <v>808</v>
      </c>
    </row>
    <row r="14" spans="1:9" ht="11.25" customHeight="1">
      <c r="A14" s="1852" t="s">
        <v>2247</v>
      </c>
      <c s="1852" t="s">
        <v>16</v>
      </c>
      <c s="1852" t="s">
        <v>2293</v>
      </c>
      <c s="1852" t="s">
        <v>2294</v>
      </c>
      <c s="1852" t="s">
        <v>2295</v>
      </c>
      <c s="1852" t="s">
        <v>2296</v>
      </c>
      <c s="1852" t="s">
        <v>22</v>
      </c>
      <c s="1852" t="s">
        <v>22</v>
      </c>
      <c s="1852" t="s">
        <v>808</v>
      </c>
    </row>
    <row r="15" spans="1:9" ht="11.25" customHeight="1">
      <c r="A15" s="1852" t="s">
        <v>2247</v>
      </c>
      <c s="1852" t="s">
        <v>16</v>
      </c>
      <c s="1852" t="s">
        <v>2297</v>
      </c>
      <c s="1852" t="s">
        <v>2298</v>
      </c>
      <c s="1852" t="s">
        <v>2299</v>
      </c>
      <c s="1852" t="s">
        <v>2300</v>
      </c>
      <c s="1852" t="s">
        <v>22</v>
      </c>
      <c s="1852" t="s">
        <v>22</v>
      </c>
      <c s="1852" t="s">
        <v>808</v>
      </c>
    </row>
    <row r="16" spans="1:9" ht="11.25" customHeight="1">
      <c r="A16" s="1852" t="s">
        <v>2247</v>
      </c>
      <c s="1852" t="s">
        <v>16</v>
      </c>
      <c s="1852" t="s">
        <v>2301</v>
      </c>
      <c s="1852" t="s">
        <v>2302</v>
      </c>
      <c s="1852" t="s">
        <v>2303</v>
      </c>
      <c s="1852" t="s">
        <v>2304</v>
      </c>
      <c s="1852" t="s">
        <v>22</v>
      </c>
      <c s="1852" t="s">
        <v>22</v>
      </c>
      <c s="1852" t="s">
        <v>808</v>
      </c>
    </row>
    <row r="17" spans="1:9" ht="11.25" customHeight="1">
      <c r="A17" s="1852" t="s">
        <v>2247</v>
      </c>
      <c s="1852" t="s">
        <v>16</v>
      </c>
      <c s="1852" t="s">
        <v>2305</v>
      </c>
      <c s="1852" t="s">
        <v>2306</v>
      </c>
      <c s="1852" t="s">
        <v>2307</v>
      </c>
      <c s="1852" t="s">
        <v>2300</v>
      </c>
      <c s="1852" t="s">
        <v>22</v>
      </c>
      <c s="1852" t="s">
        <v>22</v>
      </c>
      <c s="1852" t="s">
        <v>808</v>
      </c>
    </row>
    <row r="18" spans="1:9" ht="11.25" customHeight="1">
      <c r="A18" s="1852" t="s">
        <v>2247</v>
      </c>
      <c s="1852" t="s">
        <v>16</v>
      </c>
      <c s="1852" t="s">
        <v>2308</v>
      </c>
      <c s="1852" t="s">
        <v>2309</v>
      </c>
      <c s="1852" t="s">
        <v>2310</v>
      </c>
      <c s="1852" t="s">
        <v>2256</v>
      </c>
      <c s="1852" t="s">
        <v>22</v>
      </c>
      <c s="1852" t="s">
        <v>22</v>
      </c>
      <c s="1852" t="s">
        <v>808</v>
      </c>
    </row>
    <row r="19" spans="1:9" ht="11.25" customHeight="1">
      <c r="A19" s="1852" t="s">
        <v>2247</v>
      </c>
      <c s="1852" t="s">
        <v>16</v>
      </c>
      <c s="1852" t="s">
        <v>2311</v>
      </c>
      <c s="1852" t="s">
        <v>2312</v>
      </c>
      <c s="1852" t="s">
        <v>2313</v>
      </c>
      <c s="1852" t="s">
        <v>2314</v>
      </c>
      <c s="1852" t="s">
        <v>22</v>
      </c>
      <c s="1852" t="s">
        <v>22</v>
      </c>
      <c s="1852" t="s">
        <v>808</v>
      </c>
    </row>
    <row r="20" spans="1:9" ht="11.25" customHeight="1">
      <c r="A20" s="1852" t="s">
        <v>2247</v>
      </c>
      <c s="1852" t="s">
        <v>16</v>
      </c>
      <c s="1852" t="s">
        <v>2315</v>
      </c>
      <c s="1852" t="s">
        <v>2316</v>
      </c>
      <c s="1852" t="s">
        <v>2317</v>
      </c>
      <c s="1852" t="s">
        <v>51</v>
      </c>
      <c s="1852" t="s">
        <v>22</v>
      </c>
      <c s="1852" t="s">
        <v>22</v>
      </c>
      <c s="1852" t="s">
        <v>808</v>
      </c>
    </row>
    <row r="21" spans="1:9" ht="11.25" customHeight="1">
      <c r="A21" s="1852" t="s">
        <v>2247</v>
      </c>
      <c s="1852" t="s">
        <v>16</v>
      </c>
      <c s="1852" t="s">
        <v>2318</v>
      </c>
      <c s="1852" t="s">
        <v>2319</v>
      </c>
      <c s="1852" t="s">
        <v>2320</v>
      </c>
      <c s="1852" t="s">
        <v>2277</v>
      </c>
      <c s="1852" t="s">
        <v>22</v>
      </c>
      <c s="1852" t="s">
        <v>22</v>
      </c>
      <c s="1852" t="s">
        <v>808</v>
      </c>
    </row>
    <row r="22" spans="1:9" ht="11.25" customHeight="1">
      <c r="A22" s="1852" t="s">
        <v>2247</v>
      </c>
      <c s="1852" t="s">
        <v>16</v>
      </c>
      <c s="1852" t="s">
        <v>2321</v>
      </c>
      <c s="1852" t="s">
        <v>2322</v>
      </c>
      <c s="1852" t="s">
        <v>2323</v>
      </c>
      <c s="1852" t="s">
        <v>2256</v>
      </c>
      <c s="1852" t="s">
        <v>22</v>
      </c>
      <c s="1852" t="s">
        <v>22</v>
      </c>
      <c s="1852" t="s">
        <v>808</v>
      </c>
    </row>
    <row r="23" spans="1:9" ht="11.25" customHeight="1">
      <c r="A23" s="1852" t="s">
        <v>2247</v>
      </c>
      <c s="1852" t="s">
        <v>16</v>
      </c>
      <c s="1852" t="s">
        <v>2324</v>
      </c>
      <c s="1852" t="s">
        <v>2325</v>
      </c>
      <c s="1852" t="s">
        <v>2326</v>
      </c>
      <c s="1852" t="s">
        <v>2272</v>
      </c>
      <c s="1852" t="s">
        <v>2327</v>
      </c>
      <c s="1852" t="s">
        <v>22</v>
      </c>
      <c s="1852" t="s">
        <v>808</v>
      </c>
    </row>
    <row r="24" spans="1:9" ht="11.25" customHeight="1">
      <c r="A24" s="1852" t="s">
        <v>2247</v>
      </c>
      <c s="1852" t="s">
        <v>16</v>
      </c>
      <c s="1852" t="s">
        <v>2328</v>
      </c>
      <c s="1852" t="s">
        <v>2329</v>
      </c>
      <c s="1852" t="s">
        <v>2330</v>
      </c>
      <c s="1852" t="s">
        <v>2291</v>
      </c>
      <c s="1852" t="s">
        <v>22</v>
      </c>
      <c s="1852" t="s">
        <v>22</v>
      </c>
      <c s="1852" t="s">
        <v>808</v>
      </c>
    </row>
    <row r="25" spans="1:9" ht="11.25" customHeight="1">
      <c r="A25" s="1852" t="s">
        <v>2247</v>
      </c>
      <c s="1852" t="s">
        <v>16</v>
      </c>
      <c s="1852" t="s">
        <v>2331</v>
      </c>
      <c s="1852" t="s">
        <v>2332</v>
      </c>
      <c s="1852" t="s">
        <v>2333</v>
      </c>
      <c s="1852" t="s">
        <v>2334</v>
      </c>
      <c s="1852" t="s">
        <v>22</v>
      </c>
      <c s="1852" t="s">
        <v>22</v>
      </c>
      <c s="1852" t="s">
        <v>808</v>
      </c>
    </row>
    <row r="26" spans="1:9" ht="11.25" customHeight="1">
      <c r="A26" s="1852" t="s">
        <v>2247</v>
      </c>
      <c s="1852" t="s">
        <v>16</v>
      </c>
      <c s="1852" t="s">
        <v>2335</v>
      </c>
      <c s="1852" t="s">
        <v>2336</v>
      </c>
      <c s="1852" t="s">
        <v>2337</v>
      </c>
      <c s="1852" t="s">
        <v>2338</v>
      </c>
      <c s="1852" t="s">
        <v>2339</v>
      </c>
      <c s="1852" t="s">
        <v>22</v>
      </c>
      <c s="1852" t="s">
        <v>808</v>
      </c>
    </row>
    <row r="27" spans="1:9" ht="11.25" customHeight="1">
      <c r="A27" s="1852" t="s">
        <v>2247</v>
      </c>
      <c s="1852" t="s">
        <v>16</v>
      </c>
      <c s="1852" t="s">
        <v>2340</v>
      </c>
      <c s="1852" t="s">
        <v>2341</v>
      </c>
      <c s="1852" t="s">
        <v>2342</v>
      </c>
      <c s="1852" t="s">
        <v>2343</v>
      </c>
      <c s="1852" t="s">
        <v>22</v>
      </c>
      <c s="1852" t="s">
        <v>22</v>
      </c>
      <c s="1852" t="s">
        <v>808</v>
      </c>
    </row>
    <row r="28" spans="1:9" ht="11.25" customHeight="1">
      <c r="A28" s="1852" t="s">
        <v>2247</v>
      </c>
      <c s="1852" t="s">
        <v>16</v>
      </c>
      <c s="1852" t="s">
        <v>2344</v>
      </c>
      <c s="1852" t="s">
        <v>2345</v>
      </c>
      <c s="1852" t="s">
        <v>2346</v>
      </c>
      <c s="1852" t="s">
        <v>2347</v>
      </c>
      <c s="1852" t="s">
        <v>22</v>
      </c>
      <c s="1852" t="s">
        <v>22</v>
      </c>
      <c s="1852" t="s">
        <v>808</v>
      </c>
    </row>
    <row r="29" spans="1:9" ht="11.25" customHeight="1">
      <c r="A29" s="1852" t="s">
        <v>2247</v>
      </c>
      <c s="1852" t="s">
        <v>16</v>
      </c>
      <c s="1852" t="s">
        <v>2348</v>
      </c>
      <c s="1852" t="s">
        <v>2349</v>
      </c>
      <c s="1852" t="s">
        <v>2350</v>
      </c>
      <c s="1852" t="s">
        <v>2347</v>
      </c>
      <c s="1852" t="s">
        <v>22</v>
      </c>
      <c s="1852" t="s">
        <v>22</v>
      </c>
      <c s="1852" t="s">
        <v>808</v>
      </c>
    </row>
    <row r="30" spans="1:9" ht="11.25" customHeight="1">
      <c r="A30" s="1852" t="s">
        <v>2247</v>
      </c>
      <c s="1852" t="s">
        <v>16</v>
      </c>
      <c s="1852" t="s">
        <v>2351</v>
      </c>
      <c s="1852" t="s">
        <v>2352</v>
      </c>
      <c s="1852" t="s">
        <v>2353</v>
      </c>
      <c s="1852" t="s">
        <v>2250</v>
      </c>
      <c s="1852" t="s">
        <v>22</v>
      </c>
      <c s="1852" t="s">
        <v>22</v>
      </c>
      <c s="1852" t="s">
        <v>808</v>
      </c>
    </row>
    <row r="31" spans="1:9" ht="11.25" customHeight="1">
      <c r="A31" s="1852" t="s">
        <v>2247</v>
      </c>
      <c s="1852" t="s">
        <v>16</v>
      </c>
      <c s="1852" t="s">
        <v>2354</v>
      </c>
      <c s="1852" t="s">
        <v>2355</v>
      </c>
      <c s="1852" t="s">
        <v>2356</v>
      </c>
      <c s="1852" t="s">
        <v>2357</v>
      </c>
      <c s="1852" t="s">
        <v>2358</v>
      </c>
      <c s="1852" t="s">
        <v>22</v>
      </c>
      <c s="1852" t="s">
        <v>808</v>
      </c>
    </row>
    <row r="32" spans="1:9" ht="11.25" customHeight="1">
      <c r="A32" s="1852" t="s">
        <v>2247</v>
      </c>
      <c s="1852" t="s">
        <v>16</v>
      </c>
      <c s="1852" t="s">
        <v>2359</v>
      </c>
      <c s="1852" t="s">
        <v>2360</v>
      </c>
      <c s="1852" t="s">
        <v>2361</v>
      </c>
      <c s="1852" t="s">
        <v>2304</v>
      </c>
      <c s="1852" t="s">
        <v>2362</v>
      </c>
      <c s="1852" t="s">
        <v>22</v>
      </c>
      <c s="1852" t="s">
        <v>808</v>
      </c>
    </row>
    <row r="33" spans="1:9" ht="11.25" customHeight="1">
      <c r="A33" s="1852" t="s">
        <v>2247</v>
      </c>
      <c s="1852" t="s">
        <v>16</v>
      </c>
      <c s="1852" t="s">
        <v>2363</v>
      </c>
      <c s="1852" t="s">
        <v>2364</v>
      </c>
      <c s="1852" t="s">
        <v>2365</v>
      </c>
      <c s="1852" t="s">
        <v>2366</v>
      </c>
      <c s="1852" t="s">
        <v>22</v>
      </c>
      <c s="1852" t="s">
        <v>22</v>
      </c>
      <c s="1852" t="s">
        <v>808</v>
      </c>
    </row>
    <row r="34" spans="1:9" ht="11.25" customHeight="1">
      <c r="A34" s="1852" t="s">
        <v>2247</v>
      </c>
      <c s="1852" t="s">
        <v>16</v>
      </c>
      <c s="1852" t="s">
        <v>2367</v>
      </c>
      <c s="1852" t="s">
        <v>2368</v>
      </c>
      <c s="1852" t="s">
        <v>2369</v>
      </c>
      <c s="1852" t="s">
        <v>2347</v>
      </c>
      <c s="1852" t="s">
        <v>22</v>
      </c>
      <c s="1852" t="s">
        <v>22</v>
      </c>
      <c s="1852" t="s">
        <v>808</v>
      </c>
    </row>
    <row r="35" spans="1:9" ht="11.25" customHeight="1">
      <c r="A35" s="1852" t="s">
        <v>2247</v>
      </c>
      <c s="1852" t="s">
        <v>16</v>
      </c>
      <c s="1852" t="s">
        <v>2370</v>
      </c>
      <c s="1852" t="s">
        <v>2371</v>
      </c>
      <c s="1852" t="s">
        <v>2372</v>
      </c>
      <c s="1852" t="s">
        <v>2373</v>
      </c>
      <c s="1852" t="s">
        <v>22</v>
      </c>
      <c s="1852" t="s">
        <v>22</v>
      </c>
      <c s="1852" t="s">
        <v>808</v>
      </c>
    </row>
    <row r="36" spans="1:9" ht="11.25" customHeight="1">
      <c r="A36" s="1852" t="s">
        <v>2247</v>
      </c>
      <c s="1852" t="s">
        <v>16</v>
      </c>
      <c s="1852" t="s">
        <v>2374</v>
      </c>
      <c s="1852" t="s">
        <v>2375</v>
      </c>
      <c s="1852" t="s">
        <v>2376</v>
      </c>
      <c s="1852" t="s">
        <v>2256</v>
      </c>
      <c s="1852" t="s">
        <v>22</v>
      </c>
      <c s="1852" t="s">
        <v>22</v>
      </c>
      <c s="1852" t="s">
        <v>808</v>
      </c>
    </row>
    <row r="37" spans="1:9" ht="11.25" customHeight="1">
      <c r="A37" s="1852" t="s">
        <v>2247</v>
      </c>
      <c s="1852" t="s">
        <v>16</v>
      </c>
      <c s="1852" t="s">
        <v>2377</v>
      </c>
      <c s="1852" t="s">
        <v>2378</v>
      </c>
      <c s="1852" t="s">
        <v>2379</v>
      </c>
      <c s="1852" t="s">
        <v>2380</v>
      </c>
      <c s="1852" t="s">
        <v>2381</v>
      </c>
      <c s="1852" t="s">
        <v>22</v>
      </c>
      <c s="1852" t="s">
        <v>808</v>
      </c>
    </row>
    <row r="38" spans="1:9" ht="11.25" customHeight="1">
      <c r="A38" s="1852" t="s">
        <v>2247</v>
      </c>
      <c s="1852" t="s">
        <v>16</v>
      </c>
      <c s="1852" t="s">
        <v>2382</v>
      </c>
      <c s="1852" t="s">
        <v>2383</v>
      </c>
      <c s="1852" t="s">
        <v>2384</v>
      </c>
      <c s="1852" t="s">
        <v>2366</v>
      </c>
      <c s="1852" t="s">
        <v>22</v>
      </c>
      <c s="1852" t="s">
        <v>22</v>
      </c>
      <c s="1852" t="s">
        <v>808</v>
      </c>
    </row>
    <row r="39" spans="1:9" ht="11.25" customHeight="1">
      <c r="A39" s="1852" t="s">
        <v>2247</v>
      </c>
      <c s="1852" t="s">
        <v>16</v>
      </c>
      <c s="1852" t="s">
        <v>2385</v>
      </c>
      <c s="1852" t="s">
        <v>2386</v>
      </c>
      <c s="1852" t="s">
        <v>2387</v>
      </c>
      <c s="1852" t="s">
        <v>2265</v>
      </c>
      <c s="1852" t="s">
        <v>22</v>
      </c>
      <c s="1852" t="s">
        <v>22</v>
      </c>
      <c s="1852" t="s">
        <v>808</v>
      </c>
    </row>
    <row r="40" spans="1:9" ht="11.25" customHeight="1">
      <c r="A40" s="1852" t="s">
        <v>2247</v>
      </c>
      <c s="1852" t="s">
        <v>16</v>
      </c>
      <c s="1852" t="s">
        <v>2388</v>
      </c>
      <c s="1852" t="s">
        <v>2389</v>
      </c>
      <c s="1852" t="s">
        <v>2390</v>
      </c>
      <c s="1852" t="s">
        <v>2391</v>
      </c>
      <c s="1852" t="s">
        <v>2392</v>
      </c>
      <c s="1852" t="s">
        <v>22</v>
      </c>
      <c s="1852" t="s">
        <v>808</v>
      </c>
    </row>
    <row r="41" spans="1:9" ht="11.25" customHeight="1">
      <c r="A41" s="1852" t="s">
        <v>2247</v>
      </c>
      <c s="1852" t="s">
        <v>16</v>
      </c>
      <c s="1852" t="s">
        <v>2393</v>
      </c>
      <c s="1852" t="s">
        <v>2394</v>
      </c>
      <c s="1852" t="s">
        <v>2395</v>
      </c>
      <c s="1852" t="s">
        <v>2256</v>
      </c>
      <c s="1852" t="s">
        <v>22</v>
      </c>
      <c s="1852" t="s">
        <v>22</v>
      </c>
      <c s="1852" t="s">
        <v>808</v>
      </c>
    </row>
    <row r="42" spans="1:9" ht="11.25" customHeight="1">
      <c r="A42" s="1852" t="s">
        <v>2247</v>
      </c>
      <c s="1852" t="s">
        <v>16</v>
      </c>
      <c s="1852" t="s">
        <v>2396</v>
      </c>
      <c s="1852" t="s">
        <v>2397</v>
      </c>
      <c s="1852" t="s">
        <v>2398</v>
      </c>
      <c s="1852" t="s">
        <v>2399</v>
      </c>
      <c s="1852" t="s">
        <v>22</v>
      </c>
      <c s="1852" t="s">
        <v>22</v>
      </c>
      <c s="1852" t="s">
        <v>808</v>
      </c>
    </row>
    <row r="43" spans="1:9" ht="11.25" customHeight="1">
      <c r="A43" s="1852" t="s">
        <v>2247</v>
      </c>
      <c s="1852" t="s">
        <v>16</v>
      </c>
      <c s="1852" t="s">
        <v>2400</v>
      </c>
      <c s="1852" t="s">
        <v>2401</v>
      </c>
      <c s="1852" t="s">
        <v>2402</v>
      </c>
      <c s="1852" t="s">
        <v>2403</v>
      </c>
      <c s="1852" t="s">
        <v>2404</v>
      </c>
      <c s="1852" t="s">
        <v>22</v>
      </c>
      <c s="1852" t="s">
        <v>808</v>
      </c>
    </row>
    <row r="44" spans="1:9" ht="11.25" customHeight="1">
      <c r="A44" s="1852" t="s">
        <v>2247</v>
      </c>
      <c s="1852" t="s">
        <v>16</v>
      </c>
      <c s="1852" t="s">
        <v>2405</v>
      </c>
      <c s="1852" t="s">
        <v>2406</v>
      </c>
      <c s="1852" t="s">
        <v>2407</v>
      </c>
      <c s="1852" t="s">
        <v>2259</v>
      </c>
      <c s="1852" t="s">
        <v>22</v>
      </c>
      <c s="1852" t="s">
        <v>22</v>
      </c>
      <c s="1852" t="s">
        <v>808</v>
      </c>
    </row>
    <row r="45" spans="1:9" ht="11.25" customHeight="1">
      <c r="A45" s="1852" t="s">
        <v>2247</v>
      </c>
      <c s="1852" t="s">
        <v>16</v>
      </c>
      <c s="1852" t="s">
        <v>2408</v>
      </c>
      <c s="1852" t="s">
        <v>2409</v>
      </c>
      <c s="1852" t="s">
        <v>2410</v>
      </c>
      <c s="1852" t="s">
        <v>2411</v>
      </c>
      <c s="1852" t="s">
        <v>22</v>
      </c>
      <c s="1852" t="s">
        <v>22</v>
      </c>
      <c s="1852" t="s">
        <v>808</v>
      </c>
    </row>
    <row r="46" spans="1:9" ht="11.25" customHeight="1">
      <c r="A46" s="1852" t="s">
        <v>2247</v>
      </c>
      <c s="1852" t="s">
        <v>16</v>
      </c>
      <c s="1852" t="s">
        <v>2412</v>
      </c>
      <c s="1852" t="s">
        <v>2413</v>
      </c>
      <c s="1852" t="s">
        <v>2414</v>
      </c>
      <c s="1852" t="s">
        <v>2296</v>
      </c>
      <c s="1852" t="s">
        <v>2415</v>
      </c>
      <c s="1852" t="s">
        <v>22</v>
      </c>
      <c s="1852" t="s">
        <v>808</v>
      </c>
    </row>
    <row r="47" spans="1:9" ht="11.25" customHeight="1">
      <c r="A47" s="1852" t="s">
        <v>2247</v>
      </c>
      <c s="1852" t="s">
        <v>16</v>
      </c>
      <c s="1852" t="s">
        <v>2416</v>
      </c>
      <c s="1852" t="s">
        <v>2417</v>
      </c>
      <c s="1852" t="s">
        <v>2418</v>
      </c>
      <c s="1852" t="s">
        <v>2419</v>
      </c>
      <c s="1852" t="s">
        <v>22</v>
      </c>
      <c s="1852" t="s">
        <v>22</v>
      </c>
      <c s="1852" t="s">
        <v>808</v>
      </c>
    </row>
    <row r="48" spans="1:9" ht="11.25" customHeight="1">
      <c r="A48" s="1852" t="s">
        <v>2247</v>
      </c>
      <c s="1852" t="s">
        <v>16</v>
      </c>
      <c s="1852" t="s">
        <v>2420</v>
      </c>
      <c s="1852" t="s">
        <v>2421</v>
      </c>
      <c s="1852" t="s">
        <v>2422</v>
      </c>
      <c s="1852" t="s">
        <v>2366</v>
      </c>
      <c s="1852" t="s">
        <v>22</v>
      </c>
      <c s="1852" t="s">
        <v>22</v>
      </c>
      <c s="1852" t="s">
        <v>808</v>
      </c>
    </row>
    <row r="49" spans="1:9" ht="11.25" customHeight="1">
      <c r="A49" s="1852" t="s">
        <v>2247</v>
      </c>
      <c s="1852" t="s">
        <v>16</v>
      </c>
      <c s="1852" t="s">
        <v>2423</v>
      </c>
      <c s="1852" t="s">
        <v>2424</v>
      </c>
      <c s="1852" t="s">
        <v>2425</v>
      </c>
      <c s="1852" t="s">
        <v>2314</v>
      </c>
      <c s="1852" t="s">
        <v>22</v>
      </c>
      <c s="1852" t="s">
        <v>22</v>
      </c>
      <c s="1852" t="s">
        <v>808</v>
      </c>
    </row>
    <row r="50" spans="1:9" ht="11.25" customHeight="1">
      <c r="A50" s="1852" t="s">
        <v>2247</v>
      </c>
      <c s="1852" t="s">
        <v>16</v>
      </c>
      <c s="1852" t="s">
        <v>2426</v>
      </c>
      <c s="1852" t="s">
        <v>2427</v>
      </c>
      <c s="1852" t="s">
        <v>2307</v>
      </c>
      <c s="1852" t="s">
        <v>2428</v>
      </c>
      <c s="1852" t="s">
        <v>22</v>
      </c>
      <c s="1852" t="s">
        <v>22</v>
      </c>
      <c s="1852" t="s">
        <v>808</v>
      </c>
    </row>
    <row r="51" spans="1:9" ht="11.25" customHeight="1">
      <c r="A51" s="1852" t="s">
        <v>2247</v>
      </c>
      <c s="1852" t="s">
        <v>16</v>
      </c>
      <c s="1852" t="s">
        <v>2429</v>
      </c>
      <c s="1852" t="s">
        <v>2430</v>
      </c>
      <c s="1852" t="s">
        <v>2431</v>
      </c>
      <c s="1852" t="s">
        <v>2277</v>
      </c>
      <c s="1852" t="s">
        <v>2432</v>
      </c>
      <c s="1852" t="s">
        <v>22</v>
      </c>
      <c s="1852" t="s">
        <v>808</v>
      </c>
    </row>
    <row r="52" spans="1:9" ht="11.25" customHeight="1">
      <c r="A52" s="1852" t="s">
        <v>2247</v>
      </c>
      <c s="1852" t="s">
        <v>16</v>
      </c>
      <c s="1852" t="s">
        <v>2433</v>
      </c>
      <c s="1852" t="s">
        <v>2434</v>
      </c>
      <c s="1852" t="s">
        <v>2435</v>
      </c>
      <c s="1852" t="s">
        <v>2272</v>
      </c>
      <c s="1852" t="s">
        <v>22</v>
      </c>
      <c s="1852" t="s">
        <v>22</v>
      </c>
      <c s="1852" t="s">
        <v>808</v>
      </c>
    </row>
    <row r="53" spans="1:9" ht="11.25" customHeight="1">
      <c r="A53" s="1852" t="s">
        <v>2247</v>
      </c>
      <c s="1852" t="s">
        <v>16</v>
      </c>
      <c s="1852" t="s">
        <v>2436</v>
      </c>
      <c s="1852" t="s">
        <v>2437</v>
      </c>
      <c s="1852" t="s">
        <v>2438</v>
      </c>
      <c s="1852" t="s">
        <v>2304</v>
      </c>
      <c s="1852" t="s">
        <v>22</v>
      </c>
      <c s="1852" t="s">
        <v>22</v>
      </c>
      <c s="1852" t="s">
        <v>808</v>
      </c>
    </row>
    <row r="54" spans="1:9" ht="11.25" customHeight="1">
      <c r="A54" s="1852" t="s">
        <v>2247</v>
      </c>
      <c s="1852" t="s">
        <v>16</v>
      </c>
      <c s="1852" t="s">
        <v>2439</v>
      </c>
      <c s="1852" t="s">
        <v>2440</v>
      </c>
      <c s="1852" t="s">
        <v>2441</v>
      </c>
      <c s="1852" t="s">
        <v>2281</v>
      </c>
      <c s="1852" t="s">
        <v>2442</v>
      </c>
      <c s="1852" t="s">
        <v>22</v>
      </c>
      <c s="1852" t="s">
        <v>808</v>
      </c>
    </row>
    <row r="55" spans="1:9" ht="11.25" customHeight="1">
      <c r="A55" s="1852" t="s">
        <v>2247</v>
      </c>
      <c s="1852" t="s">
        <v>16</v>
      </c>
      <c s="1852" t="s">
        <v>2443</v>
      </c>
      <c s="1852" t="s">
        <v>2444</v>
      </c>
      <c s="1852" t="s">
        <v>2445</v>
      </c>
      <c s="1852" t="s">
        <v>2256</v>
      </c>
      <c s="1852" t="s">
        <v>2446</v>
      </c>
      <c s="1852" t="s">
        <v>22</v>
      </c>
      <c s="1852" t="s">
        <v>808</v>
      </c>
    </row>
    <row r="56" spans="1:9" ht="11.25" customHeight="1">
      <c r="A56" s="1852" t="s">
        <v>2247</v>
      </c>
      <c s="1852" t="s">
        <v>16</v>
      </c>
      <c s="1852" t="s">
        <v>2447</v>
      </c>
      <c s="1852" t="s">
        <v>2444</v>
      </c>
      <c s="1852" t="s">
        <v>2445</v>
      </c>
      <c s="1852" t="s">
        <v>2448</v>
      </c>
      <c s="1852" t="s">
        <v>2449</v>
      </c>
      <c s="1852" t="s">
        <v>22</v>
      </c>
      <c s="1852" t="s">
        <v>808</v>
      </c>
    </row>
    <row r="57" spans="1:9" ht="11.25" customHeight="1">
      <c r="A57" s="1852" t="s">
        <v>2247</v>
      </c>
      <c s="1852" t="s">
        <v>16</v>
      </c>
      <c s="1852" t="s">
        <v>2450</v>
      </c>
      <c s="1852" t="s">
        <v>2451</v>
      </c>
      <c s="1852" t="s">
        <v>2452</v>
      </c>
      <c s="1852" t="s">
        <v>2453</v>
      </c>
      <c s="1852" t="s">
        <v>2454</v>
      </c>
      <c s="1852" t="s">
        <v>22</v>
      </c>
      <c s="1852" t="s">
        <v>808</v>
      </c>
    </row>
    <row r="58" spans="1:9" ht="11.25" customHeight="1">
      <c r="A58" s="1852" t="s">
        <v>2247</v>
      </c>
      <c s="1852" t="s">
        <v>16</v>
      </c>
      <c s="1852" t="s">
        <v>2455</v>
      </c>
      <c s="1852" t="s">
        <v>2456</v>
      </c>
      <c s="1852" t="s">
        <v>2457</v>
      </c>
      <c s="1852" t="s">
        <v>2458</v>
      </c>
      <c s="1852" t="s">
        <v>2459</v>
      </c>
      <c s="1852" t="s">
        <v>22</v>
      </c>
      <c s="1852" t="s">
        <v>808</v>
      </c>
    </row>
    <row r="59" spans="1:9" ht="11.25" customHeight="1">
      <c r="A59" s="1852" t="s">
        <v>2247</v>
      </c>
      <c s="1852" t="s">
        <v>16</v>
      </c>
      <c s="1852" t="s">
        <v>2460</v>
      </c>
      <c s="1852" t="s">
        <v>2461</v>
      </c>
      <c s="1852" t="s">
        <v>2462</v>
      </c>
      <c s="1852" t="s">
        <v>2463</v>
      </c>
      <c s="1852" t="s">
        <v>22</v>
      </c>
      <c s="1852" t="s">
        <v>22</v>
      </c>
      <c s="1852" t="s">
        <v>808</v>
      </c>
    </row>
    <row r="60" spans="1:9" ht="11.25" customHeight="1">
      <c r="A60" s="1852" t="s">
        <v>2247</v>
      </c>
      <c s="1852" t="s">
        <v>16</v>
      </c>
      <c s="1852" t="s">
        <v>2464</v>
      </c>
      <c s="1852" t="s">
        <v>2465</v>
      </c>
      <c s="1852" t="s">
        <v>2466</v>
      </c>
      <c s="1852" t="s">
        <v>2467</v>
      </c>
      <c s="1852" t="s">
        <v>2468</v>
      </c>
      <c s="1852" t="s">
        <v>22</v>
      </c>
      <c s="1852" t="s">
        <v>808</v>
      </c>
    </row>
    <row r="61" spans="1:9" ht="11.25" customHeight="1">
      <c r="A61" s="1852" t="s">
        <v>2247</v>
      </c>
      <c s="1852" t="s">
        <v>16</v>
      </c>
      <c s="1852" t="s">
        <v>2469</v>
      </c>
      <c s="1852" t="s">
        <v>2470</v>
      </c>
      <c s="1852" t="s">
        <v>2471</v>
      </c>
      <c s="1852" t="s">
        <v>2472</v>
      </c>
      <c s="1852" t="s">
        <v>2473</v>
      </c>
      <c s="1852" t="s">
        <v>22</v>
      </c>
      <c s="1852" t="s">
        <v>808</v>
      </c>
    </row>
    <row r="62" spans="1:9" ht="11.25" customHeight="1">
      <c r="A62" s="1852" t="s">
        <v>2247</v>
      </c>
      <c s="1852" t="s">
        <v>16</v>
      </c>
      <c s="1852" t="s">
        <v>2474</v>
      </c>
      <c s="1852" t="s">
        <v>2475</v>
      </c>
      <c s="1852" t="s">
        <v>2476</v>
      </c>
      <c s="1852" t="s">
        <v>2477</v>
      </c>
      <c s="1852" t="s">
        <v>2478</v>
      </c>
      <c s="1852" t="s">
        <v>22</v>
      </c>
      <c s="1852" t="s">
        <v>808</v>
      </c>
    </row>
    <row r="63" spans="1:9" ht="11.25" customHeight="1">
      <c r="A63" s="1852" t="s">
        <v>2247</v>
      </c>
      <c s="1852" t="s">
        <v>16</v>
      </c>
      <c s="1852" t="s">
        <v>2479</v>
      </c>
      <c s="1852" t="s">
        <v>2480</v>
      </c>
      <c s="1852" t="s">
        <v>2481</v>
      </c>
      <c s="1852" t="s">
        <v>2477</v>
      </c>
      <c s="1852" t="s">
        <v>2482</v>
      </c>
      <c s="1852" t="s">
        <v>22</v>
      </c>
      <c s="1852" t="s">
        <v>808</v>
      </c>
    </row>
    <row r="64" spans="1:9" ht="11.25" customHeight="1">
      <c r="A64" s="1852" t="s">
        <v>2247</v>
      </c>
      <c s="1852" t="s">
        <v>16</v>
      </c>
      <c s="1852" t="s">
        <v>2483</v>
      </c>
      <c s="1852" t="s">
        <v>2484</v>
      </c>
      <c s="1852" t="s">
        <v>2485</v>
      </c>
      <c s="1852" t="s">
        <v>2265</v>
      </c>
      <c s="1852" t="s">
        <v>2486</v>
      </c>
      <c s="1852" t="s">
        <v>22</v>
      </c>
      <c s="1852" t="s">
        <v>808</v>
      </c>
    </row>
    <row r="65" spans="1:9" ht="11.25" customHeight="1">
      <c r="A65" s="1852" t="s">
        <v>2247</v>
      </c>
      <c s="1852" t="s">
        <v>16</v>
      </c>
      <c s="1852" t="s">
        <v>2487</v>
      </c>
      <c s="1852" t="s">
        <v>2488</v>
      </c>
      <c s="1852" t="s">
        <v>2452</v>
      </c>
      <c s="1852" t="s">
        <v>2489</v>
      </c>
      <c s="1852" t="s">
        <v>2454</v>
      </c>
      <c s="1852" t="s">
        <v>22</v>
      </c>
      <c s="1852" t="s">
        <v>808</v>
      </c>
    </row>
    <row r="66" spans="1:9" ht="11.25" customHeight="1">
      <c r="A66" s="1852" t="s">
        <v>2247</v>
      </c>
      <c s="1852" t="s">
        <v>16</v>
      </c>
      <c s="1852" t="s">
        <v>2490</v>
      </c>
      <c s="1852" t="s">
        <v>2491</v>
      </c>
      <c s="1852" t="s">
        <v>2492</v>
      </c>
      <c s="1852" t="s">
        <v>2304</v>
      </c>
      <c s="1852" t="s">
        <v>22</v>
      </c>
      <c s="1852" t="s">
        <v>22</v>
      </c>
      <c s="1852" t="s">
        <v>808</v>
      </c>
    </row>
    <row r="67" spans="1:9" ht="11.25" customHeight="1">
      <c r="A67" s="1852" t="s">
        <v>2247</v>
      </c>
      <c s="1852" t="s">
        <v>16</v>
      </c>
      <c s="1852" t="s">
        <v>22</v>
      </c>
      <c s="1852" t="s">
        <v>2493</v>
      </c>
      <c s="1852" t="s">
        <v>2494</v>
      </c>
      <c s="1852" t="s">
        <v>2277</v>
      </c>
      <c s="1852" t="s">
        <v>22</v>
      </c>
      <c s="1852" t="s">
        <v>22</v>
      </c>
      <c s="1852" t="s">
        <v>808</v>
      </c>
    </row>
    <row r="68" spans="1:9" ht="11.25" customHeight="1">
      <c r="A68" s="1852" t="s">
        <v>2247</v>
      </c>
      <c s="1852" t="s">
        <v>16</v>
      </c>
      <c s="1852" t="s">
        <v>2495</v>
      </c>
      <c s="1852" t="s">
        <v>2496</v>
      </c>
      <c s="1852" t="s">
        <v>2497</v>
      </c>
      <c s="1852" t="s">
        <v>51</v>
      </c>
      <c s="1852" t="s">
        <v>2498</v>
      </c>
      <c s="1852" t="s">
        <v>22</v>
      </c>
      <c s="1852" t="s">
        <v>808</v>
      </c>
    </row>
    <row r="69" spans="1:9" ht="11.25" customHeight="1">
      <c r="A69" s="1852" t="s">
        <v>2247</v>
      </c>
      <c s="1852" t="s">
        <v>16</v>
      </c>
      <c s="1852" t="s">
        <v>2499</v>
      </c>
      <c s="1852" t="s">
        <v>2500</v>
      </c>
      <c s="1852" t="s">
        <v>2501</v>
      </c>
      <c s="1852" t="s">
        <v>2253</v>
      </c>
      <c s="1852" t="s">
        <v>22</v>
      </c>
      <c s="1852" t="s">
        <v>22</v>
      </c>
      <c s="1852" t="s">
        <v>808</v>
      </c>
    </row>
    <row r="70" spans="1:9" ht="11.25" customHeight="1">
      <c r="A70" s="1852" t="s">
        <v>2247</v>
      </c>
      <c s="1852" t="s">
        <v>16</v>
      </c>
      <c s="1852" t="s">
        <v>2502</v>
      </c>
      <c s="1852" t="s">
        <v>2503</v>
      </c>
      <c s="1852" t="s">
        <v>2504</v>
      </c>
      <c s="1852" t="s">
        <v>2347</v>
      </c>
      <c s="1852" t="s">
        <v>22</v>
      </c>
      <c s="1852" t="s">
        <v>22</v>
      </c>
      <c s="1852" t="s">
        <v>808</v>
      </c>
    </row>
    <row r="71" spans="1:9" ht="11.25" customHeight="1">
      <c r="A71" s="1852" t="s">
        <v>2247</v>
      </c>
      <c s="1852" t="s">
        <v>16</v>
      </c>
      <c s="1852" t="s">
        <v>2505</v>
      </c>
      <c s="1852" t="s">
        <v>2506</v>
      </c>
      <c s="1852" t="s">
        <v>2507</v>
      </c>
      <c s="1852" t="s">
        <v>2314</v>
      </c>
      <c s="1852" t="s">
        <v>22</v>
      </c>
      <c s="1852" t="s">
        <v>22</v>
      </c>
      <c s="1852" t="s">
        <v>808</v>
      </c>
    </row>
    <row r="72" spans="1:9" ht="11.25" customHeight="1">
      <c r="A72" s="1852" t="s">
        <v>2247</v>
      </c>
      <c s="1852" t="s">
        <v>16</v>
      </c>
      <c s="1852" t="s">
        <v>2508</v>
      </c>
      <c s="1852" t="s">
        <v>2509</v>
      </c>
      <c s="1852" t="s">
        <v>2510</v>
      </c>
      <c s="1852" t="s">
        <v>2511</v>
      </c>
      <c s="1852" t="s">
        <v>22</v>
      </c>
      <c s="1852" t="s">
        <v>22</v>
      </c>
      <c s="1852" t="s">
        <v>808</v>
      </c>
    </row>
    <row r="73" spans="1:9" ht="11.25" customHeight="1">
      <c r="A73" s="1852" t="s">
        <v>2247</v>
      </c>
      <c s="1852" t="s">
        <v>16</v>
      </c>
      <c s="1852" t="s">
        <v>2512</v>
      </c>
      <c s="1852" t="s">
        <v>2513</v>
      </c>
      <c s="1852" t="s">
        <v>2514</v>
      </c>
      <c s="1852" t="s">
        <v>2515</v>
      </c>
      <c s="1852" t="s">
        <v>22</v>
      </c>
      <c s="1852" t="s">
        <v>22</v>
      </c>
      <c s="1852" t="s">
        <v>808</v>
      </c>
    </row>
    <row r="74" spans="1:9" ht="11.25" customHeight="1">
      <c r="A74" s="1852" t="s">
        <v>2247</v>
      </c>
      <c s="1852" t="s">
        <v>16</v>
      </c>
      <c s="1852" t="s">
        <v>2516</v>
      </c>
      <c s="1852" t="s">
        <v>2517</v>
      </c>
      <c s="1852" t="s">
        <v>2518</v>
      </c>
      <c s="1852" t="s">
        <v>2519</v>
      </c>
      <c s="1852" t="s">
        <v>2520</v>
      </c>
      <c s="1852" t="s">
        <v>22</v>
      </c>
      <c s="1852" t="s">
        <v>808</v>
      </c>
    </row>
    <row r="75" spans="1:9" ht="11.25" customHeight="1">
      <c r="A75" s="1852" t="s">
        <v>2247</v>
      </c>
      <c s="1852" t="s">
        <v>16</v>
      </c>
      <c s="1852" t="s">
        <v>2521</v>
      </c>
      <c s="1852" t="s">
        <v>2522</v>
      </c>
      <c s="1852" t="s">
        <v>2523</v>
      </c>
      <c s="1852" t="s">
        <v>2524</v>
      </c>
      <c s="1852" t="s">
        <v>2520</v>
      </c>
      <c s="1852" t="s">
        <v>22</v>
      </c>
      <c s="1852" t="s">
        <v>808</v>
      </c>
    </row>
    <row r="76" spans="1:9" ht="11.25" customHeight="1">
      <c r="A76" s="1852" t="s">
        <v>2247</v>
      </c>
      <c s="1852" t="s">
        <v>16</v>
      </c>
      <c s="1852" t="s">
        <v>2525</v>
      </c>
      <c s="1852" t="s">
        <v>2526</v>
      </c>
      <c s="1852" t="s">
        <v>2527</v>
      </c>
      <c s="1852" t="s">
        <v>575</v>
      </c>
      <c s="1852" t="s">
        <v>2528</v>
      </c>
      <c s="1852" t="s">
        <v>22</v>
      </c>
      <c s="1852" t="s">
        <v>808</v>
      </c>
    </row>
    <row r="77" spans="1:9" ht="11.25" customHeight="1">
      <c r="A77" s="1852" t="s">
        <v>2247</v>
      </c>
      <c s="1852" t="s">
        <v>16</v>
      </c>
      <c s="1852" t="s">
        <v>2529</v>
      </c>
      <c s="1852" t="s">
        <v>2530</v>
      </c>
      <c s="1852" t="s">
        <v>2531</v>
      </c>
      <c s="1852" t="s">
        <v>575</v>
      </c>
      <c s="1852" t="s">
        <v>2532</v>
      </c>
      <c s="1852" t="s">
        <v>22</v>
      </c>
      <c s="1852" t="s">
        <v>808</v>
      </c>
    </row>
    <row r="78" spans="1:9" ht="11.25" customHeight="1">
      <c r="A78" s="1852" t="s">
        <v>2247</v>
      </c>
      <c s="1852" t="s">
        <v>16</v>
      </c>
      <c s="1852" t="s">
        <v>2533</v>
      </c>
      <c s="1852" t="s">
        <v>2534</v>
      </c>
      <c s="1852" t="s">
        <v>2535</v>
      </c>
      <c s="1852" t="s">
        <v>575</v>
      </c>
      <c s="1852" t="s">
        <v>2536</v>
      </c>
      <c s="1852" t="s">
        <v>22</v>
      </c>
      <c s="1852" t="s">
        <v>808</v>
      </c>
    </row>
    <row r="79" spans="1:9" ht="11.25" customHeight="1">
      <c r="A79" s="1852" t="s">
        <v>2247</v>
      </c>
      <c s="1852" t="s">
        <v>16</v>
      </c>
      <c s="1852" t="s">
        <v>2537</v>
      </c>
      <c s="1852" t="s">
        <v>2538</v>
      </c>
      <c s="1852" t="s">
        <v>2539</v>
      </c>
      <c s="1852" t="s">
        <v>575</v>
      </c>
      <c s="1852" t="s">
        <v>2540</v>
      </c>
      <c s="1852" t="s">
        <v>22</v>
      </c>
      <c s="1852" t="s">
        <v>808</v>
      </c>
    </row>
    <row r="80" spans="1:9" ht="11.25" customHeight="1">
      <c r="A80" s="1852" t="s">
        <v>2247</v>
      </c>
      <c s="1852" t="s">
        <v>16</v>
      </c>
      <c s="1852" t="s">
        <v>2541</v>
      </c>
      <c s="1852" t="s">
        <v>2542</v>
      </c>
      <c s="1852" t="s">
        <v>2543</v>
      </c>
      <c s="1852" t="s">
        <v>575</v>
      </c>
      <c s="1852" t="s">
        <v>2544</v>
      </c>
      <c s="1852" t="s">
        <v>22</v>
      </c>
      <c s="1852" t="s">
        <v>808</v>
      </c>
    </row>
    <row r="81" spans="1:9" ht="11.25" customHeight="1">
      <c r="A81" s="1852" t="s">
        <v>2247</v>
      </c>
      <c s="1852" t="s">
        <v>16</v>
      </c>
      <c s="1852" t="s">
        <v>2545</v>
      </c>
      <c s="1852" t="s">
        <v>2546</v>
      </c>
      <c s="1852" t="s">
        <v>2547</v>
      </c>
      <c s="1852" t="s">
        <v>2256</v>
      </c>
      <c s="1852" t="s">
        <v>2548</v>
      </c>
      <c s="1852" t="s">
        <v>22</v>
      </c>
      <c s="1852" t="s">
        <v>808</v>
      </c>
    </row>
    <row r="82" spans="1:9" ht="11.25" customHeight="1">
      <c r="A82" s="1852" t="s">
        <v>2247</v>
      </c>
      <c s="1852" t="s">
        <v>16</v>
      </c>
      <c s="1852" t="s">
        <v>2549</v>
      </c>
      <c s="1852" t="s">
        <v>2550</v>
      </c>
      <c s="1852" t="s">
        <v>2551</v>
      </c>
      <c s="1852" t="s">
        <v>2552</v>
      </c>
      <c s="1852" t="s">
        <v>22</v>
      </c>
      <c s="1852" t="s">
        <v>22</v>
      </c>
      <c s="1852" t="s">
        <v>808</v>
      </c>
    </row>
    <row r="83" spans="1:9" ht="11.25" customHeight="1">
      <c r="A83" s="1852" t="s">
        <v>2247</v>
      </c>
      <c s="1852" t="s">
        <v>16</v>
      </c>
      <c s="1852" t="s">
        <v>2553</v>
      </c>
      <c s="1852" t="s">
        <v>2554</v>
      </c>
      <c s="1852" t="s">
        <v>2555</v>
      </c>
      <c s="1852" t="s">
        <v>2556</v>
      </c>
      <c s="1852" t="s">
        <v>22</v>
      </c>
      <c s="1852" t="s">
        <v>22</v>
      </c>
      <c s="1852" t="s">
        <v>808</v>
      </c>
    </row>
    <row r="84" spans="1:9" ht="11.25" customHeight="1">
      <c r="A84" s="1852" t="s">
        <v>2247</v>
      </c>
      <c s="1852" t="s">
        <v>16</v>
      </c>
      <c s="1852" t="s">
        <v>2557</v>
      </c>
      <c s="1852" t="s">
        <v>2558</v>
      </c>
      <c s="1852" t="s">
        <v>2452</v>
      </c>
      <c s="1852" t="s">
        <v>2559</v>
      </c>
      <c s="1852" t="s">
        <v>2454</v>
      </c>
      <c s="1852" t="s">
        <v>22</v>
      </c>
      <c s="1852" t="s">
        <v>808</v>
      </c>
    </row>
    <row r="85" spans="1:9" ht="11.25" customHeight="1">
      <c r="A85" s="1852" t="s">
        <v>2247</v>
      </c>
      <c s="1852" t="s">
        <v>16</v>
      </c>
      <c s="1852" t="s">
        <v>2560</v>
      </c>
      <c s="1852" t="s">
        <v>2561</v>
      </c>
      <c s="1852" t="s">
        <v>2562</v>
      </c>
      <c s="1852" t="s">
        <v>2411</v>
      </c>
      <c s="1852" t="s">
        <v>2563</v>
      </c>
      <c s="1852" t="s">
        <v>22</v>
      </c>
      <c s="1852" t="s">
        <v>808</v>
      </c>
    </row>
    <row r="86" spans="1:9" ht="11.25" customHeight="1">
      <c r="A86" s="1852" t="s">
        <v>2247</v>
      </c>
      <c s="1852" t="s">
        <v>16</v>
      </c>
      <c s="1852" t="s">
        <v>2564</v>
      </c>
      <c s="1852" t="s">
        <v>2565</v>
      </c>
      <c s="1852" t="s">
        <v>2566</v>
      </c>
      <c s="1852" t="s">
        <v>2567</v>
      </c>
      <c s="1852" t="s">
        <v>22</v>
      </c>
      <c s="1852" t="s">
        <v>22</v>
      </c>
      <c s="1852" t="s">
        <v>808</v>
      </c>
    </row>
    <row r="87" spans="1:9" ht="11.25" customHeight="1">
      <c r="A87" s="1852" t="s">
        <v>2247</v>
      </c>
      <c s="1852" t="s">
        <v>16</v>
      </c>
      <c s="1852" t="s">
        <v>2568</v>
      </c>
      <c s="1852" t="s">
        <v>2569</v>
      </c>
      <c s="1852" t="s">
        <v>2570</v>
      </c>
      <c s="1852" t="s">
        <v>2571</v>
      </c>
      <c s="1852" t="s">
        <v>2572</v>
      </c>
      <c s="1852" t="s">
        <v>22</v>
      </c>
      <c s="1852" t="s">
        <v>808</v>
      </c>
    </row>
    <row r="88" spans="1:9" ht="11.25" customHeight="1">
      <c r="A88" s="1852" t="s">
        <v>2247</v>
      </c>
      <c s="1852" t="s">
        <v>16</v>
      </c>
      <c s="1852" t="s">
        <v>2573</v>
      </c>
      <c s="1852" t="s">
        <v>2574</v>
      </c>
      <c s="1852" t="s">
        <v>2575</v>
      </c>
      <c s="1852" t="s">
        <v>2403</v>
      </c>
      <c s="1852" t="s">
        <v>2576</v>
      </c>
      <c s="1852" t="s">
        <v>22</v>
      </c>
      <c s="1852" t="s">
        <v>808</v>
      </c>
    </row>
    <row r="89" spans="1:9" ht="11.25" customHeight="1">
      <c r="A89" s="1852" t="s">
        <v>2247</v>
      </c>
      <c s="1852" t="s">
        <v>16</v>
      </c>
      <c s="1852" t="s">
        <v>2577</v>
      </c>
      <c s="1852" t="s">
        <v>2578</v>
      </c>
      <c s="1852" t="s">
        <v>2579</v>
      </c>
      <c s="1852" t="s">
        <v>2567</v>
      </c>
      <c s="1852" t="s">
        <v>2580</v>
      </c>
      <c s="1852" t="s">
        <v>22</v>
      </c>
      <c s="1852" t="s">
        <v>808</v>
      </c>
    </row>
    <row r="90" spans="1:9" ht="11.25" customHeight="1">
      <c r="A90" s="1852" t="s">
        <v>2247</v>
      </c>
      <c s="1852" t="s">
        <v>16</v>
      </c>
      <c s="1852" t="s">
        <v>2581</v>
      </c>
      <c s="1852" t="s">
        <v>2582</v>
      </c>
      <c s="1852" t="s">
        <v>2583</v>
      </c>
      <c s="1852" t="s">
        <v>2584</v>
      </c>
      <c s="1852" t="s">
        <v>22</v>
      </c>
      <c s="1852" t="s">
        <v>22</v>
      </c>
      <c s="1852" t="s">
        <v>808</v>
      </c>
    </row>
    <row r="91" spans="1:9" ht="11.25" customHeight="1">
      <c r="A91" s="1852" t="s">
        <v>2247</v>
      </c>
      <c s="1852" t="s">
        <v>16</v>
      </c>
      <c s="1852" t="s">
        <v>2585</v>
      </c>
      <c s="1852" t="s">
        <v>2586</v>
      </c>
      <c s="1852" t="s">
        <v>2587</v>
      </c>
      <c s="1852" t="s">
        <v>2304</v>
      </c>
      <c s="1852" t="s">
        <v>22</v>
      </c>
      <c s="1852" t="s">
        <v>22</v>
      </c>
      <c s="1852" t="s">
        <v>808</v>
      </c>
    </row>
    <row r="92" spans="1:9" ht="11.25" customHeight="1">
      <c r="A92" s="1852" t="s">
        <v>2247</v>
      </c>
      <c s="1852" t="s">
        <v>16</v>
      </c>
      <c s="1852" t="s">
        <v>2588</v>
      </c>
      <c s="1852" t="s">
        <v>2589</v>
      </c>
      <c s="1852" t="s">
        <v>2590</v>
      </c>
      <c s="1852" t="s">
        <v>2591</v>
      </c>
      <c s="1852" t="s">
        <v>22</v>
      </c>
      <c s="1852" t="s">
        <v>22</v>
      </c>
      <c s="1852" t="s">
        <v>808</v>
      </c>
    </row>
    <row r="93" spans="1:9" ht="11.25" customHeight="1">
      <c r="A93" s="1852" t="s">
        <v>2247</v>
      </c>
      <c s="1852" t="s">
        <v>16</v>
      </c>
      <c s="1852" t="s">
        <v>2592</v>
      </c>
      <c s="1852" t="s">
        <v>2593</v>
      </c>
      <c s="1852" t="s">
        <v>2594</v>
      </c>
      <c s="1852" t="s">
        <v>2595</v>
      </c>
      <c s="1852" t="s">
        <v>2596</v>
      </c>
      <c s="1852" t="s">
        <v>22</v>
      </c>
      <c s="1852" t="s">
        <v>808</v>
      </c>
    </row>
    <row r="94" spans="1:9" ht="11.25" customHeight="1">
      <c r="A94" s="1852" t="s">
        <v>2247</v>
      </c>
      <c s="1852" t="s">
        <v>16</v>
      </c>
      <c s="1852" t="s">
        <v>2597</v>
      </c>
      <c s="1852" t="s">
        <v>2598</v>
      </c>
      <c s="1852" t="s">
        <v>2599</v>
      </c>
      <c s="1852" t="s">
        <v>2600</v>
      </c>
      <c s="1852" t="s">
        <v>22</v>
      </c>
      <c s="1852" t="s">
        <v>22</v>
      </c>
      <c s="1852" t="s">
        <v>808</v>
      </c>
    </row>
    <row r="95" spans="1:9" ht="11.25" customHeight="1">
      <c r="A95" s="1852" t="s">
        <v>2247</v>
      </c>
      <c s="1852" t="s">
        <v>16</v>
      </c>
      <c s="1852" t="s">
        <v>2601</v>
      </c>
      <c s="1852" t="s">
        <v>2602</v>
      </c>
      <c s="1852" t="s">
        <v>2603</v>
      </c>
      <c s="1852" t="s">
        <v>2604</v>
      </c>
      <c s="1852" t="s">
        <v>2605</v>
      </c>
      <c s="1852" t="s">
        <v>22</v>
      </c>
      <c s="1852" t="s">
        <v>808</v>
      </c>
    </row>
    <row r="96" spans="1:9" ht="11.25" customHeight="1">
      <c r="A96" s="1852" t="s">
        <v>2247</v>
      </c>
      <c s="1852" t="s">
        <v>16</v>
      </c>
      <c s="1852" t="s">
        <v>2606</v>
      </c>
      <c s="1852" t="s">
        <v>2607</v>
      </c>
      <c s="1852" t="s">
        <v>2608</v>
      </c>
      <c s="1852" t="s">
        <v>2515</v>
      </c>
      <c s="1852" t="s">
        <v>22</v>
      </c>
      <c s="1852" t="s">
        <v>22</v>
      </c>
      <c s="1852" t="s">
        <v>808</v>
      </c>
    </row>
    <row r="97" spans="1:9" ht="11.25" customHeight="1">
      <c r="A97" s="1852" t="s">
        <v>2247</v>
      </c>
      <c s="1852" t="s">
        <v>16</v>
      </c>
      <c s="1852" t="s">
        <v>2609</v>
      </c>
      <c s="1852" t="s">
        <v>2610</v>
      </c>
      <c s="1852" t="s">
        <v>2611</v>
      </c>
      <c s="1852" t="s">
        <v>2612</v>
      </c>
      <c s="1852" t="s">
        <v>22</v>
      </c>
      <c s="1852" t="s">
        <v>22</v>
      </c>
      <c s="1852" t="s">
        <v>808</v>
      </c>
    </row>
    <row r="98" spans="1:9" ht="11.25" customHeight="1">
      <c r="A98" s="1852" t="s">
        <v>2247</v>
      </c>
      <c s="1852" t="s">
        <v>16</v>
      </c>
      <c s="1852" t="s">
        <v>2613</v>
      </c>
      <c s="1852" t="s">
        <v>2614</v>
      </c>
      <c s="1852" t="s">
        <v>2615</v>
      </c>
      <c s="1852" t="s">
        <v>2281</v>
      </c>
      <c s="1852" t="s">
        <v>2616</v>
      </c>
      <c s="1852" t="s">
        <v>22</v>
      </c>
      <c s="1852" t="s">
        <v>808</v>
      </c>
    </row>
    <row r="99" spans="1:9" ht="11.25" customHeight="1">
      <c r="A99" s="1852" t="s">
        <v>2247</v>
      </c>
      <c s="1852" t="s">
        <v>16</v>
      </c>
      <c s="1852" t="s">
        <v>2617</v>
      </c>
      <c s="1852" t="s">
        <v>2618</v>
      </c>
      <c s="1852" t="s">
        <v>2619</v>
      </c>
      <c s="1852" t="s">
        <v>2620</v>
      </c>
      <c s="1852" t="s">
        <v>2621</v>
      </c>
      <c s="1852" t="s">
        <v>22</v>
      </c>
      <c s="1852" t="s">
        <v>808</v>
      </c>
    </row>
    <row r="100" spans="1:9" ht="11.25" customHeight="1">
      <c r="A100" s="1852" t="s">
        <v>2247</v>
      </c>
      <c s="1852" t="s">
        <v>16</v>
      </c>
      <c s="1852" t="s">
        <v>2622</v>
      </c>
      <c s="1852" t="s">
        <v>2623</v>
      </c>
      <c s="1852" t="s">
        <v>2624</v>
      </c>
      <c s="1852" t="s">
        <v>2519</v>
      </c>
      <c s="1852" t="s">
        <v>2520</v>
      </c>
      <c s="1852" t="s">
        <v>22</v>
      </c>
      <c s="1852" t="s">
        <v>808</v>
      </c>
    </row>
    <row r="101" spans="1:9" ht="11.25" customHeight="1">
      <c r="A101" s="1852" t="s">
        <v>2247</v>
      </c>
      <c s="1852" t="s">
        <v>16</v>
      </c>
      <c s="1852" t="s">
        <v>2625</v>
      </c>
      <c s="1852" t="s">
        <v>2626</v>
      </c>
      <c s="1852" t="s">
        <v>2627</v>
      </c>
      <c s="1852" t="s">
        <v>2411</v>
      </c>
      <c s="1852" t="s">
        <v>2628</v>
      </c>
      <c s="1852" t="s">
        <v>22</v>
      </c>
      <c s="1852" t="s">
        <v>808</v>
      </c>
    </row>
    <row r="102" spans="1:9" ht="11.25" customHeight="1">
      <c r="A102" s="1852" t="s">
        <v>2247</v>
      </c>
      <c s="1852" t="s">
        <v>16</v>
      </c>
      <c s="1852" t="s">
        <v>2629</v>
      </c>
      <c s="1852" t="s">
        <v>2630</v>
      </c>
      <c s="1852" t="s">
        <v>2631</v>
      </c>
      <c s="1852" t="s">
        <v>2567</v>
      </c>
      <c s="1852" t="s">
        <v>2632</v>
      </c>
      <c s="1852" t="s">
        <v>22</v>
      </c>
      <c s="1852" t="s">
        <v>808</v>
      </c>
    </row>
    <row r="103" spans="1:9" ht="11.25" customHeight="1">
      <c r="A103" s="1852" t="s">
        <v>2247</v>
      </c>
      <c s="1852" t="s">
        <v>16</v>
      </c>
      <c s="1852" t="s">
        <v>2633</v>
      </c>
      <c s="1852" t="s">
        <v>2634</v>
      </c>
      <c s="1852" t="s">
        <v>2635</v>
      </c>
      <c s="1852" t="s">
        <v>2636</v>
      </c>
      <c s="1852" t="s">
        <v>2637</v>
      </c>
      <c s="1852" t="s">
        <v>22</v>
      </c>
      <c s="1852" t="s">
        <v>808</v>
      </c>
    </row>
    <row r="104" spans="1:9" ht="11.25" customHeight="1">
      <c r="A104" s="1852" t="s">
        <v>2247</v>
      </c>
      <c s="1852" t="s">
        <v>16</v>
      </c>
      <c s="1852" t="s">
        <v>2638</v>
      </c>
      <c s="1852" t="s">
        <v>2639</v>
      </c>
      <c s="1852" t="s">
        <v>2640</v>
      </c>
      <c s="1852" t="s">
        <v>2620</v>
      </c>
      <c s="1852" t="s">
        <v>2641</v>
      </c>
      <c s="1852" t="s">
        <v>22</v>
      </c>
      <c s="1852" t="s">
        <v>808</v>
      </c>
    </row>
    <row r="105" spans="1:9" ht="11.25" customHeight="1">
      <c r="A105" s="1852" t="s">
        <v>2247</v>
      </c>
      <c s="1852" t="s">
        <v>16</v>
      </c>
      <c s="1852" t="s">
        <v>2642</v>
      </c>
      <c s="1852" t="s">
        <v>2643</v>
      </c>
      <c s="1852" t="s">
        <v>2644</v>
      </c>
      <c s="1852" t="s">
        <v>2595</v>
      </c>
      <c s="1852" t="s">
        <v>22</v>
      </c>
      <c s="1852" t="s">
        <v>22</v>
      </c>
      <c s="1852" t="s">
        <v>808</v>
      </c>
    </row>
    <row r="106" spans="1:9" ht="11.25" customHeight="1">
      <c r="A106" s="1852" t="s">
        <v>2247</v>
      </c>
      <c s="1852" t="s">
        <v>16</v>
      </c>
      <c s="1852" t="s">
        <v>2645</v>
      </c>
      <c s="1852" t="s">
        <v>2646</v>
      </c>
      <c s="1852" t="s">
        <v>2647</v>
      </c>
      <c s="1852" t="s">
        <v>2648</v>
      </c>
      <c s="1852" t="s">
        <v>22</v>
      </c>
      <c s="1852" t="s">
        <v>22</v>
      </c>
      <c s="1852" t="s">
        <v>808</v>
      </c>
    </row>
    <row r="107" spans="1:9" ht="11.25" customHeight="1">
      <c r="A107" s="1852" t="s">
        <v>2247</v>
      </c>
      <c s="1852" t="s">
        <v>16</v>
      </c>
      <c s="1852" t="s">
        <v>2649</v>
      </c>
      <c s="1852" t="s">
        <v>2650</v>
      </c>
      <c s="1852" t="s">
        <v>2651</v>
      </c>
      <c s="1852" t="s">
        <v>2620</v>
      </c>
      <c s="1852" t="s">
        <v>2652</v>
      </c>
      <c s="1852" t="s">
        <v>22</v>
      </c>
      <c s="1852" t="s">
        <v>808</v>
      </c>
    </row>
    <row r="108" spans="1:9" ht="11.25" customHeight="1">
      <c r="A108" s="1852" t="s">
        <v>2247</v>
      </c>
      <c s="1852" t="s">
        <v>16</v>
      </c>
      <c s="1852" t="s">
        <v>2653</v>
      </c>
      <c s="1852" t="s">
        <v>2654</v>
      </c>
      <c s="1852" t="s">
        <v>2655</v>
      </c>
      <c s="1852" t="s">
        <v>2604</v>
      </c>
      <c s="1852" t="s">
        <v>22</v>
      </c>
      <c s="1852" t="s">
        <v>22</v>
      </c>
      <c s="1852" t="s">
        <v>808</v>
      </c>
    </row>
    <row r="109" spans="1:9" ht="11.25" customHeight="1">
      <c r="A109" s="1852" t="s">
        <v>2247</v>
      </c>
      <c s="1852" t="s">
        <v>16</v>
      </c>
      <c s="1852" t="s">
        <v>2656</v>
      </c>
      <c s="1852" t="s">
        <v>2657</v>
      </c>
      <c s="1852" t="s">
        <v>2658</v>
      </c>
      <c s="1852" t="s">
        <v>2659</v>
      </c>
      <c s="1852" t="s">
        <v>2660</v>
      </c>
      <c s="1852" t="s">
        <v>22</v>
      </c>
      <c s="1852" t="s">
        <v>808</v>
      </c>
    </row>
    <row r="110" spans="1:9" ht="11.25" customHeight="1">
      <c r="A110" s="1852" t="s">
        <v>2247</v>
      </c>
      <c s="1852" t="s">
        <v>16</v>
      </c>
      <c s="1852" t="s">
        <v>2661</v>
      </c>
      <c s="1852" t="s">
        <v>2662</v>
      </c>
      <c s="1852" t="s">
        <v>2663</v>
      </c>
      <c s="1852" t="s">
        <v>2584</v>
      </c>
      <c s="1852" t="s">
        <v>22</v>
      </c>
      <c s="1852" t="s">
        <v>22</v>
      </c>
      <c s="1852" t="s">
        <v>808</v>
      </c>
    </row>
    <row r="111" spans="1:9" ht="11.25" customHeight="1">
      <c r="A111" s="1852" t="s">
        <v>2247</v>
      </c>
      <c s="1852" t="s">
        <v>16</v>
      </c>
      <c s="1852" t="s">
        <v>2664</v>
      </c>
      <c s="1852" t="s">
        <v>2665</v>
      </c>
      <c s="1852" t="s">
        <v>2666</v>
      </c>
      <c s="1852" t="s">
        <v>2265</v>
      </c>
      <c s="1852" t="s">
        <v>22</v>
      </c>
      <c s="1852" t="s">
        <v>22</v>
      </c>
      <c s="1852" t="s">
        <v>808</v>
      </c>
    </row>
    <row r="112" spans="1:9" ht="11.25" customHeight="1">
      <c r="A112" s="1852" t="s">
        <v>2247</v>
      </c>
      <c s="1852" t="s">
        <v>16</v>
      </c>
      <c s="1852" t="s">
        <v>2667</v>
      </c>
      <c s="1852" t="s">
        <v>2668</v>
      </c>
      <c s="1852" t="s">
        <v>2669</v>
      </c>
      <c s="1852" t="s">
        <v>2670</v>
      </c>
      <c s="1852" t="s">
        <v>2671</v>
      </c>
      <c s="1852" t="s">
        <v>22</v>
      </c>
      <c s="1852" t="s">
        <v>808</v>
      </c>
    </row>
    <row r="113" spans="1:9" ht="11.25" customHeight="1">
      <c r="A113" s="1852" t="s">
        <v>2247</v>
      </c>
      <c s="1852" t="s">
        <v>16</v>
      </c>
      <c s="1852" t="s">
        <v>2672</v>
      </c>
      <c s="1852" t="s">
        <v>2673</v>
      </c>
      <c s="1852" t="s">
        <v>2674</v>
      </c>
      <c s="1852" t="s">
        <v>2675</v>
      </c>
      <c s="1852" t="s">
        <v>2676</v>
      </c>
      <c s="1852" t="s">
        <v>22</v>
      </c>
      <c s="1852" t="s">
        <v>808</v>
      </c>
    </row>
    <row r="114" spans="1:9" ht="11.25" customHeight="1">
      <c r="A114" s="1852" t="s">
        <v>2247</v>
      </c>
      <c s="1852" t="s">
        <v>16</v>
      </c>
      <c s="1852" t="s">
        <v>2677</v>
      </c>
      <c s="1852" t="s">
        <v>2678</v>
      </c>
      <c s="1852" t="s">
        <v>2679</v>
      </c>
      <c s="1852" t="s">
        <v>2511</v>
      </c>
      <c s="1852" t="s">
        <v>22</v>
      </c>
      <c s="1852" t="s">
        <v>22</v>
      </c>
      <c s="1852" t="s">
        <v>808</v>
      </c>
    </row>
    <row r="115" spans="1:9" ht="11.25" customHeight="1">
      <c r="A115" s="1852" t="s">
        <v>2247</v>
      </c>
      <c s="1852" t="s">
        <v>16</v>
      </c>
      <c s="1852" t="s">
        <v>2680</v>
      </c>
      <c s="1852" t="s">
        <v>2681</v>
      </c>
      <c s="1852" t="s">
        <v>2682</v>
      </c>
      <c s="1852" t="s">
        <v>2567</v>
      </c>
      <c s="1852" t="s">
        <v>2683</v>
      </c>
      <c s="1852" t="s">
        <v>22</v>
      </c>
      <c s="1852" t="s">
        <v>808</v>
      </c>
    </row>
    <row r="116" spans="1:9" ht="11.25" customHeight="1">
      <c r="A116" s="1852" t="s">
        <v>2247</v>
      </c>
      <c s="1852" t="s">
        <v>16</v>
      </c>
      <c s="1852" t="s">
        <v>2684</v>
      </c>
      <c s="1852" t="s">
        <v>2685</v>
      </c>
      <c s="1852" t="s">
        <v>2686</v>
      </c>
      <c s="1852" t="s">
        <v>2253</v>
      </c>
      <c s="1852" t="s">
        <v>2687</v>
      </c>
      <c s="1852" t="s">
        <v>22</v>
      </c>
      <c s="1852" t="s">
        <v>808</v>
      </c>
    </row>
    <row r="117" spans="1:9" ht="11.25" customHeight="1">
      <c r="A117" s="1852" t="s">
        <v>2247</v>
      </c>
      <c s="1852" t="s">
        <v>16</v>
      </c>
      <c s="1852" t="s">
        <v>2688</v>
      </c>
      <c s="1852" t="s">
        <v>2689</v>
      </c>
      <c s="1852" t="s">
        <v>2690</v>
      </c>
      <c s="1852" t="s">
        <v>2691</v>
      </c>
      <c s="1852" t="s">
        <v>2692</v>
      </c>
      <c s="1852" t="s">
        <v>22</v>
      </c>
      <c s="1852" t="s">
        <v>808</v>
      </c>
    </row>
    <row r="118" spans="1:9" ht="11.25" customHeight="1">
      <c r="A118" s="1852" t="s">
        <v>2247</v>
      </c>
      <c s="1852" t="s">
        <v>16</v>
      </c>
      <c s="1852" t="s">
        <v>2693</v>
      </c>
      <c s="1852" t="s">
        <v>2694</v>
      </c>
      <c s="1852" t="s">
        <v>2695</v>
      </c>
      <c s="1852" t="s">
        <v>2262</v>
      </c>
      <c s="1852" t="s">
        <v>22</v>
      </c>
      <c s="1852" t="s">
        <v>22</v>
      </c>
      <c s="1852" t="s">
        <v>808</v>
      </c>
    </row>
    <row r="119" spans="1:9" ht="11.25" customHeight="1">
      <c r="A119" s="1852" t="s">
        <v>2247</v>
      </c>
      <c s="1852" t="s">
        <v>16</v>
      </c>
      <c s="1852" t="s">
        <v>2696</v>
      </c>
      <c s="1852" t="s">
        <v>2697</v>
      </c>
      <c s="1852" t="s">
        <v>2698</v>
      </c>
      <c s="1852" t="s">
        <v>2699</v>
      </c>
      <c s="1852" t="s">
        <v>2700</v>
      </c>
      <c s="1852" t="s">
        <v>22</v>
      </c>
      <c s="1852" t="s">
        <v>808</v>
      </c>
    </row>
    <row r="120" spans="1:9" ht="11.25" customHeight="1">
      <c r="A120" s="1852" t="s">
        <v>2247</v>
      </c>
      <c s="1852" t="s">
        <v>16</v>
      </c>
      <c s="1852" t="s">
        <v>2701</v>
      </c>
      <c s="1852" t="s">
        <v>2702</v>
      </c>
      <c s="1852" t="s">
        <v>2703</v>
      </c>
      <c s="1852" t="s">
        <v>2704</v>
      </c>
      <c s="1852" t="s">
        <v>22</v>
      </c>
      <c s="1852" t="s">
        <v>22</v>
      </c>
      <c s="1852" t="s">
        <v>808</v>
      </c>
    </row>
    <row r="121" spans="1:9" ht="11.25" customHeight="1">
      <c r="A121" s="1852" t="s">
        <v>2247</v>
      </c>
      <c s="1852" t="s">
        <v>16</v>
      </c>
      <c s="1852" t="s">
        <v>2705</v>
      </c>
      <c s="1852" t="s">
        <v>2706</v>
      </c>
      <c s="1852" t="s">
        <v>2707</v>
      </c>
      <c s="1852" t="s">
        <v>2708</v>
      </c>
      <c s="1852" t="s">
        <v>22</v>
      </c>
      <c s="1852" t="s">
        <v>22</v>
      </c>
      <c s="1852" t="s">
        <v>808</v>
      </c>
    </row>
    <row r="122" spans="1:9" ht="11.25" customHeight="1">
      <c r="A122" s="1852" t="s">
        <v>2247</v>
      </c>
      <c s="1852" t="s">
        <v>16</v>
      </c>
      <c s="1852" t="s">
        <v>2709</v>
      </c>
      <c s="1852" t="s">
        <v>2710</v>
      </c>
      <c s="1852" t="s">
        <v>2711</v>
      </c>
      <c s="1852" t="s">
        <v>2477</v>
      </c>
      <c s="1852" t="s">
        <v>2712</v>
      </c>
      <c s="1852" t="s">
        <v>22</v>
      </c>
      <c s="1852" t="s">
        <v>808</v>
      </c>
    </row>
    <row r="123" spans="1:9" ht="11.25" customHeight="1">
      <c r="A123" s="1852" t="s">
        <v>2247</v>
      </c>
      <c s="1852" t="s">
        <v>16</v>
      </c>
      <c s="1852" t="s">
        <v>2713</v>
      </c>
      <c s="1852" t="s">
        <v>2714</v>
      </c>
      <c s="1852" t="s">
        <v>2715</v>
      </c>
      <c s="1852" t="s">
        <v>2699</v>
      </c>
      <c s="1852" t="s">
        <v>2716</v>
      </c>
      <c s="1852" t="s">
        <v>22</v>
      </c>
      <c s="1852" t="s">
        <v>808</v>
      </c>
    </row>
    <row r="124" spans="1:9" ht="11.25" customHeight="1">
      <c r="A124" s="1852" t="s">
        <v>2247</v>
      </c>
      <c s="1852" t="s">
        <v>16</v>
      </c>
      <c s="1852" t="s">
        <v>2717</v>
      </c>
      <c s="1852" t="s">
        <v>2718</v>
      </c>
      <c s="1852" t="s">
        <v>2719</v>
      </c>
      <c s="1852" t="s">
        <v>2584</v>
      </c>
      <c s="1852" t="s">
        <v>22</v>
      </c>
      <c s="1852" t="s">
        <v>22</v>
      </c>
      <c s="1852" t="s">
        <v>808</v>
      </c>
    </row>
    <row r="125" spans="1:9" ht="11.25" customHeight="1">
      <c r="A125" s="1852" t="s">
        <v>2247</v>
      </c>
      <c s="1852" t="s">
        <v>16</v>
      </c>
      <c s="1852" t="s">
        <v>2720</v>
      </c>
      <c s="1852" t="s">
        <v>2721</v>
      </c>
      <c s="1852" t="s">
        <v>2722</v>
      </c>
      <c s="1852" t="s">
        <v>2723</v>
      </c>
      <c s="1852" t="s">
        <v>22</v>
      </c>
      <c s="1852" t="s">
        <v>22</v>
      </c>
      <c s="1852" t="s">
        <v>808</v>
      </c>
    </row>
    <row r="126" spans="1:9" ht="11.25" customHeight="1">
      <c r="A126" s="1852" t="s">
        <v>2247</v>
      </c>
      <c s="1852" t="s">
        <v>16</v>
      </c>
      <c s="1852" t="s">
        <v>2724</v>
      </c>
      <c s="1852" t="s">
        <v>2725</v>
      </c>
      <c s="1852" t="s">
        <v>2726</v>
      </c>
      <c s="1852" t="s">
        <v>2727</v>
      </c>
      <c s="1852" t="s">
        <v>22</v>
      </c>
      <c s="1852" t="s">
        <v>22</v>
      </c>
      <c s="1852" t="s">
        <v>808</v>
      </c>
    </row>
    <row r="127" spans="1:9" ht="11.25" customHeight="1">
      <c r="A127" s="1852" t="s">
        <v>2247</v>
      </c>
      <c s="1852" t="s">
        <v>16</v>
      </c>
      <c s="1852" t="s">
        <v>2728</v>
      </c>
      <c s="1852" t="s">
        <v>2729</v>
      </c>
      <c s="1852" t="s">
        <v>2730</v>
      </c>
      <c s="1852" t="s">
        <v>2731</v>
      </c>
      <c s="1852" t="s">
        <v>2732</v>
      </c>
      <c s="1852" t="s">
        <v>22</v>
      </c>
      <c s="1852" t="s">
        <v>808</v>
      </c>
    </row>
    <row r="128" spans="1:9" ht="11.25" customHeight="1">
      <c r="A128" s="1852" t="s">
        <v>2247</v>
      </c>
      <c s="1852" t="s">
        <v>16</v>
      </c>
      <c s="1852" t="s">
        <v>2733</v>
      </c>
      <c s="1852" t="s">
        <v>2734</v>
      </c>
      <c s="1852" t="s">
        <v>2735</v>
      </c>
      <c s="1852" t="s">
        <v>2584</v>
      </c>
      <c s="1852" t="s">
        <v>22</v>
      </c>
      <c s="1852" t="s">
        <v>22</v>
      </c>
      <c s="1852" t="s">
        <v>808</v>
      </c>
    </row>
    <row r="129" spans="1:9" ht="11.25" customHeight="1">
      <c r="A129" s="1852" t="s">
        <v>2247</v>
      </c>
      <c s="1852" t="s">
        <v>16</v>
      </c>
      <c s="1852" t="s">
        <v>2736</v>
      </c>
      <c s="1852" t="s">
        <v>2737</v>
      </c>
      <c s="1852" t="s">
        <v>2738</v>
      </c>
      <c s="1852" t="s">
        <v>2286</v>
      </c>
      <c s="1852" t="s">
        <v>22</v>
      </c>
      <c s="1852" t="s">
        <v>22</v>
      </c>
      <c s="1852" t="s">
        <v>808</v>
      </c>
    </row>
    <row r="130" spans="1:9" ht="11.25" customHeight="1">
      <c r="A130" s="1852" t="s">
        <v>2247</v>
      </c>
      <c s="1852" t="s">
        <v>16</v>
      </c>
      <c s="1852" t="s">
        <v>2739</v>
      </c>
      <c s="1852" t="s">
        <v>2740</v>
      </c>
      <c s="1852" t="s">
        <v>2741</v>
      </c>
      <c s="1852" t="s">
        <v>2403</v>
      </c>
      <c s="1852" t="s">
        <v>2742</v>
      </c>
      <c s="1852" t="s">
        <v>22</v>
      </c>
      <c s="1852" t="s">
        <v>808</v>
      </c>
    </row>
    <row r="131" spans="1:9" ht="11.25" customHeight="1">
      <c r="A131" s="1852" t="s">
        <v>2247</v>
      </c>
      <c s="1852" t="s">
        <v>16</v>
      </c>
      <c s="1852" t="s">
        <v>2743</v>
      </c>
      <c s="1852" t="s">
        <v>2744</v>
      </c>
      <c s="1852" t="s">
        <v>2745</v>
      </c>
      <c s="1852" t="s">
        <v>2746</v>
      </c>
      <c s="1852" t="s">
        <v>2747</v>
      </c>
      <c s="1852" t="s">
        <v>22</v>
      </c>
      <c s="1852" t="s">
        <v>808</v>
      </c>
    </row>
    <row r="132" spans="1:9" ht="11.25" customHeight="1">
      <c r="A132" s="1852" t="s">
        <v>2247</v>
      </c>
      <c s="1852" t="s">
        <v>16</v>
      </c>
      <c s="1852" t="s">
        <v>2748</v>
      </c>
      <c s="1852" t="s">
        <v>2749</v>
      </c>
      <c s="1852" t="s">
        <v>2750</v>
      </c>
      <c s="1852" t="s">
        <v>2620</v>
      </c>
      <c s="1852" t="s">
        <v>22</v>
      </c>
      <c s="1852" t="s">
        <v>22</v>
      </c>
      <c s="1852" t="s">
        <v>808</v>
      </c>
    </row>
    <row r="133" spans="1:9" ht="11.25" customHeight="1">
      <c r="A133" s="1852" t="s">
        <v>2247</v>
      </c>
      <c s="1852" t="s">
        <v>16</v>
      </c>
      <c s="1852" t="s">
        <v>2751</v>
      </c>
      <c s="1852" t="s">
        <v>2752</v>
      </c>
      <c s="1852" t="s">
        <v>2753</v>
      </c>
      <c s="1852" t="s">
        <v>2265</v>
      </c>
      <c s="1852" t="s">
        <v>22</v>
      </c>
      <c s="1852" t="s">
        <v>22</v>
      </c>
      <c s="1852" t="s">
        <v>808</v>
      </c>
    </row>
    <row r="134" spans="1:9" ht="11.25" customHeight="1">
      <c r="A134" s="1852" t="s">
        <v>2247</v>
      </c>
      <c s="1852" t="s">
        <v>16</v>
      </c>
      <c s="1852" t="s">
        <v>2754</v>
      </c>
      <c s="1852" t="s">
        <v>2755</v>
      </c>
      <c s="1852" t="s">
        <v>2756</v>
      </c>
      <c s="1852" t="s">
        <v>2403</v>
      </c>
      <c s="1852" t="s">
        <v>22</v>
      </c>
      <c s="1852" t="s">
        <v>22</v>
      </c>
      <c s="1852" t="s">
        <v>808</v>
      </c>
    </row>
    <row r="135" spans="1:9" ht="11.25" customHeight="1">
      <c r="A135" s="1852" t="s">
        <v>2247</v>
      </c>
      <c s="1852" t="s">
        <v>16</v>
      </c>
      <c s="1852" t="s">
        <v>2757</v>
      </c>
      <c s="1852" t="s">
        <v>2758</v>
      </c>
      <c s="1852" t="s">
        <v>2759</v>
      </c>
      <c s="1852" t="s">
        <v>2760</v>
      </c>
      <c s="1852" t="s">
        <v>22</v>
      </c>
      <c s="1852" t="s">
        <v>22</v>
      </c>
      <c s="1852" t="s">
        <v>808</v>
      </c>
    </row>
    <row r="136" spans="1:9" ht="11.25" customHeight="1">
      <c r="A136" s="1852" t="s">
        <v>2247</v>
      </c>
      <c s="1852" t="s">
        <v>16</v>
      </c>
      <c s="1852" t="s">
        <v>2761</v>
      </c>
      <c s="1852" t="s">
        <v>2762</v>
      </c>
      <c s="1852" t="s">
        <v>2763</v>
      </c>
      <c s="1852" t="s">
        <v>2731</v>
      </c>
      <c s="1852" t="s">
        <v>2764</v>
      </c>
      <c s="1852" t="s">
        <v>22</v>
      </c>
      <c s="1852" t="s">
        <v>808</v>
      </c>
    </row>
    <row r="137" spans="1:9" ht="11.25" customHeight="1">
      <c r="A137" s="1852" t="s">
        <v>2247</v>
      </c>
      <c s="1852" t="s">
        <v>16</v>
      </c>
      <c s="1852" t="s">
        <v>2765</v>
      </c>
      <c s="1852" t="s">
        <v>2766</v>
      </c>
      <c s="1852" t="s">
        <v>2767</v>
      </c>
      <c s="1852" t="s">
        <v>2675</v>
      </c>
      <c s="1852" t="s">
        <v>2768</v>
      </c>
      <c s="1852" t="s">
        <v>22</v>
      </c>
      <c s="1852" t="s">
        <v>808</v>
      </c>
    </row>
    <row r="138" spans="1:9" ht="11.25" customHeight="1">
      <c r="A138" s="1852" t="s">
        <v>2247</v>
      </c>
      <c s="1852" t="s">
        <v>16</v>
      </c>
      <c s="1852" t="s">
        <v>2769</v>
      </c>
      <c s="1852" t="s">
        <v>2770</v>
      </c>
      <c s="1852" t="s">
        <v>2771</v>
      </c>
      <c s="1852" t="s">
        <v>2411</v>
      </c>
      <c s="1852" t="s">
        <v>22</v>
      </c>
      <c s="1852" t="s">
        <v>22</v>
      </c>
      <c s="1852" t="s">
        <v>808</v>
      </c>
    </row>
    <row r="139" spans="1:9" ht="11.25" customHeight="1">
      <c r="A139" s="1852" t="s">
        <v>2247</v>
      </c>
      <c s="1852" t="s">
        <v>16</v>
      </c>
      <c s="1852" t="s">
        <v>2772</v>
      </c>
      <c s="1852" t="s">
        <v>2773</v>
      </c>
      <c s="1852" t="s">
        <v>2774</v>
      </c>
      <c s="1852" t="s">
        <v>2600</v>
      </c>
      <c s="1852" t="s">
        <v>22</v>
      </c>
      <c s="1852" t="s">
        <v>22</v>
      </c>
      <c s="1852" t="s">
        <v>808</v>
      </c>
    </row>
    <row r="140" spans="1:9" ht="11.25" customHeight="1">
      <c r="A140" s="1852" t="s">
        <v>2247</v>
      </c>
      <c s="1852" t="s">
        <v>16</v>
      </c>
      <c s="1852" t="s">
        <v>2775</v>
      </c>
      <c s="1852" t="s">
        <v>2776</v>
      </c>
      <c s="1852" t="s">
        <v>2777</v>
      </c>
      <c s="1852" t="s">
        <v>51</v>
      </c>
      <c s="1852" t="s">
        <v>2778</v>
      </c>
      <c s="1852" t="s">
        <v>22</v>
      </c>
      <c s="1852" t="s">
        <v>808</v>
      </c>
    </row>
    <row r="141" spans="1:9" ht="11.25" customHeight="1">
      <c r="A141" s="1852" t="s">
        <v>2247</v>
      </c>
      <c s="1852" t="s">
        <v>16</v>
      </c>
      <c s="1852" t="s">
        <v>2779</v>
      </c>
      <c s="1852" t="s">
        <v>2780</v>
      </c>
      <c s="1852" t="s">
        <v>2781</v>
      </c>
      <c s="1852" t="s">
        <v>2265</v>
      </c>
      <c s="1852" t="s">
        <v>2782</v>
      </c>
      <c s="1852" t="s">
        <v>22</v>
      </c>
      <c s="1852" t="s">
        <v>808</v>
      </c>
    </row>
    <row r="142" spans="1:9" ht="11.25" customHeight="1">
      <c r="A142" s="1852" t="s">
        <v>2247</v>
      </c>
      <c s="1852" t="s">
        <v>16</v>
      </c>
      <c s="1852" t="s">
        <v>2783</v>
      </c>
      <c s="1852" t="s">
        <v>2784</v>
      </c>
      <c s="1852" t="s">
        <v>2785</v>
      </c>
      <c s="1852" t="s">
        <v>2786</v>
      </c>
      <c s="1852" t="s">
        <v>2787</v>
      </c>
      <c s="1852" t="s">
        <v>22</v>
      </c>
      <c s="1852" t="s">
        <v>808</v>
      </c>
    </row>
    <row r="143" spans="1:9" ht="11.25" customHeight="1">
      <c r="A143" s="1852" t="s">
        <v>2247</v>
      </c>
      <c s="1852" t="s">
        <v>16</v>
      </c>
      <c s="1852" t="s">
        <v>2788</v>
      </c>
      <c s="1852" t="s">
        <v>2789</v>
      </c>
      <c s="1852" t="s">
        <v>2790</v>
      </c>
      <c s="1852" t="s">
        <v>2281</v>
      </c>
      <c s="1852" t="s">
        <v>22</v>
      </c>
      <c s="1852" t="s">
        <v>22</v>
      </c>
      <c s="1852" t="s">
        <v>808</v>
      </c>
    </row>
    <row r="144" spans="1:9" ht="11.25" customHeight="1">
      <c r="A144" s="1852" t="s">
        <v>2247</v>
      </c>
      <c s="1852" t="s">
        <v>16</v>
      </c>
      <c s="1852" t="s">
        <v>2791</v>
      </c>
      <c s="1852" t="s">
        <v>2792</v>
      </c>
      <c s="1852" t="s">
        <v>2445</v>
      </c>
      <c s="1852" t="s">
        <v>2793</v>
      </c>
      <c s="1852" t="s">
        <v>2449</v>
      </c>
      <c s="1852" t="s">
        <v>22</v>
      </c>
      <c s="1852" t="s">
        <v>808</v>
      </c>
    </row>
    <row r="145" spans="1:9" ht="11.25" customHeight="1">
      <c r="A145" s="1852" t="s">
        <v>2247</v>
      </c>
      <c s="1852" t="s">
        <v>16</v>
      </c>
      <c s="1852" t="s">
        <v>2794</v>
      </c>
      <c s="1852" t="s">
        <v>2795</v>
      </c>
      <c s="1852" t="s">
        <v>2796</v>
      </c>
      <c s="1852" t="s">
        <v>2797</v>
      </c>
      <c s="1852" t="s">
        <v>22</v>
      </c>
      <c s="1852" t="s">
        <v>22</v>
      </c>
      <c s="1852" t="s">
        <v>808</v>
      </c>
    </row>
    <row r="146" spans="1:9" ht="11.25" customHeight="1">
      <c r="A146" s="1852" t="s">
        <v>2247</v>
      </c>
      <c s="1852" t="s">
        <v>16</v>
      </c>
      <c s="1852" t="s">
        <v>2798</v>
      </c>
      <c s="1852" t="s">
        <v>2799</v>
      </c>
      <c s="1852" t="s">
        <v>2445</v>
      </c>
      <c s="1852" t="s">
        <v>2800</v>
      </c>
      <c s="1852" t="s">
        <v>2801</v>
      </c>
      <c s="1852" t="s">
        <v>22</v>
      </c>
      <c s="1852" t="s">
        <v>808</v>
      </c>
    </row>
    <row r="147" spans="1:9" ht="11.25" customHeight="1">
      <c r="A147" s="1852" t="s">
        <v>2247</v>
      </c>
      <c s="1852" t="s">
        <v>16</v>
      </c>
      <c s="1852" t="s">
        <v>2802</v>
      </c>
      <c s="1852" t="s">
        <v>2803</v>
      </c>
      <c s="1852" t="s">
        <v>2804</v>
      </c>
      <c s="1852" t="s">
        <v>2380</v>
      </c>
      <c s="1852" t="s">
        <v>2805</v>
      </c>
      <c s="1852" t="s">
        <v>22</v>
      </c>
      <c s="1852" t="s">
        <v>808</v>
      </c>
    </row>
    <row r="148" spans="1:9" ht="11.25" customHeight="1">
      <c r="A148" s="1852" t="s">
        <v>2247</v>
      </c>
      <c s="1852" t="s">
        <v>16</v>
      </c>
      <c s="1852" t="s">
        <v>2806</v>
      </c>
      <c s="1852" t="s">
        <v>2807</v>
      </c>
      <c s="1852" t="s">
        <v>2808</v>
      </c>
      <c s="1852" t="s">
        <v>2250</v>
      </c>
      <c s="1852" t="s">
        <v>22</v>
      </c>
      <c s="1852" t="s">
        <v>22</v>
      </c>
      <c s="1852" t="s">
        <v>808</v>
      </c>
    </row>
    <row r="149" spans="1:9" ht="11.25" customHeight="1">
      <c r="A149" s="1852" t="s">
        <v>2247</v>
      </c>
      <c s="1852" t="s">
        <v>16</v>
      </c>
      <c s="1852" t="s">
        <v>2809</v>
      </c>
      <c s="1852" t="s">
        <v>2810</v>
      </c>
      <c s="1852" t="s">
        <v>2811</v>
      </c>
      <c s="1852" t="s">
        <v>2250</v>
      </c>
      <c s="1852" t="s">
        <v>2812</v>
      </c>
      <c s="1852" t="s">
        <v>22</v>
      </c>
      <c s="1852" t="s">
        <v>808</v>
      </c>
    </row>
    <row r="150" spans="1:9" ht="11.25" customHeight="1">
      <c r="A150" s="1852" t="s">
        <v>2247</v>
      </c>
      <c s="1852" t="s">
        <v>16</v>
      </c>
      <c s="1852" t="s">
        <v>2813</v>
      </c>
      <c s="1852" t="s">
        <v>2814</v>
      </c>
      <c s="1852" t="s">
        <v>2815</v>
      </c>
      <c s="1852" t="s">
        <v>2571</v>
      </c>
      <c s="1852" t="s">
        <v>2816</v>
      </c>
      <c s="1852" t="s">
        <v>22</v>
      </c>
      <c s="1852" t="s">
        <v>808</v>
      </c>
    </row>
    <row r="151" spans="1:9" ht="11.25" customHeight="1">
      <c r="A151" s="1852" t="s">
        <v>2247</v>
      </c>
      <c s="1852" t="s">
        <v>16</v>
      </c>
      <c s="1852" t="s">
        <v>2817</v>
      </c>
      <c s="1852" t="s">
        <v>2818</v>
      </c>
      <c s="1852" t="s">
        <v>2819</v>
      </c>
      <c s="1852" t="s">
        <v>51</v>
      </c>
      <c s="1852" t="s">
        <v>22</v>
      </c>
      <c s="1852" t="s">
        <v>22</v>
      </c>
      <c s="1852" t="s">
        <v>808</v>
      </c>
    </row>
    <row r="152" spans="1:9" ht="11.25" customHeight="1">
      <c r="A152" s="1852" t="s">
        <v>2247</v>
      </c>
      <c s="1852" t="s">
        <v>16</v>
      </c>
      <c s="1852" t="s">
        <v>2820</v>
      </c>
      <c s="1852" t="s">
        <v>2821</v>
      </c>
      <c s="1852" t="s">
        <v>2822</v>
      </c>
      <c s="1852" t="s">
        <v>2708</v>
      </c>
      <c s="1852" t="s">
        <v>22</v>
      </c>
      <c s="1852" t="s">
        <v>22</v>
      </c>
      <c s="1852" t="s">
        <v>808</v>
      </c>
    </row>
    <row r="153" spans="1:9" ht="11.25" customHeight="1">
      <c r="A153" s="1852" t="s">
        <v>2247</v>
      </c>
      <c s="1852" t="s">
        <v>16</v>
      </c>
      <c s="1852" t="s">
        <v>2823</v>
      </c>
      <c s="1852" t="s">
        <v>2824</v>
      </c>
      <c s="1852" t="s">
        <v>2825</v>
      </c>
      <c s="1852" t="s">
        <v>2826</v>
      </c>
      <c s="1852" t="s">
        <v>22</v>
      </c>
      <c s="1852" t="s">
        <v>22</v>
      </c>
      <c s="1852" t="s">
        <v>808</v>
      </c>
    </row>
    <row r="154" spans="1:9" ht="11.25" customHeight="1">
      <c r="A154" s="1852" t="s">
        <v>2247</v>
      </c>
      <c s="1852" t="s">
        <v>16</v>
      </c>
      <c s="1852" t="s">
        <v>2827</v>
      </c>
      <c s="1852" t="s">
        <v>2828</v>
      </c>
      <c s="1852" t="s">
        <v>2829</v>
      </c>
      <c s="1852" t="s">
        <v>2511</v>
      </c>
      <c s="1852" t="s">
        <v>22</v>
      </c>
      <c s="1852" t="s">
        <v>22</v>
      </c>
      <c s="1852" t="s">
        <v>808</v>
      </c>
    </row>
    <row r="155" spans="1:9" ht="11.25" customHeight="1">
      <c r="A155" s="1852" t="s">
        <v>2247</v>
      </c>
      <c s="1852" t="s">
        <v>16</v>
      </c>
      <c s="1852" t="s">
        <v>2830</v>
      </c>
      <c s="1852" t="s">
        <v>2831</v>
      </c>
      <c s="1852" t="s">
        <v>2832</v>
      </c>
      <c s="1852" t="s">
        <v>2256</v>
      </c>
      <c s="1852" t="s">
        <v>2833</v>
      </c>
      <c s="1852" t="s">
        <v>22</v>
      </c>
      <c s="1852" t="s">
        <v>808</v>
      </c>
    </row>
    <row r="156" spans="1:9" ht="11.25" customHeight="1">
      <c r="A156" s="1852" t="s">
        <v>2247</v>
      </c>
      <c s="1852" t="s">
        <v>16</v>
      </c>
      <c s="1852" t="s">
        <v>2834</v>
      </c>
      <c s="1852" t="s">
        <v>2835</v>
      </c>
      <c s="1852" t="s">
        <v>2836</v>
      </c>
      <c s="1852" t="s">
        <v>2604</v>
      </c>
      <c s="1852" t="s">
        <v>22</v>
      </c>
      <c s="1852" t="s">
        <v>22</v>
      </c>
      <c s="1852" t="s">
        <v>808</v>
      </c>
    </row>
    <row r="157" spans="1:9" ht="11.25" customHeight="1">
      <c r="A157" s="1852" t="s">
        <v>2247</v>
      </c>
      <c s="1852" t="s">
        <v>16</v>
      </c>
      <c s="1852" t="s">
        <v>2837</v>
      </c>
      <c s="1852" t="s">
        <v>2838</v>
      </c>
      <c s="1852" t="s">
        <v>2839</v>
      </c>
      <c s="1852" t="s">
        <v>2314</v>
      </c>
      <c s="1852" t="s">
        <v>22</v>
      </c>
      <c s="1852" t="s">
        <v>22</v>
      </c>
      <c s="1852" t="s">
        <v>808</v>
      </c>
    </row>
    <row r="158" spans="1:9" ht="11.25" customHeight="1">
      <c r="A158" s="1852" t="s">
        <v>2247</v>
      </c>
      <c s="1852" t="s">
        <v>16</v>
      </c>
      <c s="1852" t="s">
        <v>2840</v>
      </c>
      <c s="1852" t="s">
        <v>2841</v>
      </c>
      <c s="1852" t="s">
        <v>2842</v>
      </c>
      <c s="1852" t="s">
        <v>2648</v>
      </c>
      <c s="1852" t="s">
        <v>2843</v>
      </c>
      <c s="1852" t="s">
        <v>22</v>
      </c>
      <c s="1852" t="s">
        <v>808</v>
      </c>
    </row>
    <row r="159" spans="1:9" ht="11.25" customHeight="1">
      <c r="A159" s="1852" t="s">
        <v>2247</v>
      </c>
      <c s="1852" t="s">
        <v>16</v>
      </c>
      <c s="1852" t="s">
        <v>2844</v>
      </c>
      <c s="1852" t="s">
        <v>2845</v>
      </c>
      <c s="1852" t="s">
        <v>2846</v>
      </c>
      <c s="1852" t="s">
        <v>2847</v>
      </c>
      <c s="1852" t="s">
        <v>22</v>
      </c>
      <c s="1852" t="s">
        <v>22</v>
      </c>
      <c s="1852" t="s">
        <v>808</v>
      </c>
    </row>
    <row r="160" spans="1:9" ht="11.25" customHeight="1">
      <c r="A160" s="1852" t="s">
        <v>2247</v>
      </c>
      <c s="1852" t="s">
        <v>16</v>
      </c>
      <c s="1852" t="s">
        <v>2848</v>
      </c>
      <c s="1852" t="s">
        <v>2849</v>
      </c>
      <c s="1852" t="s">
        <v>2850</v>
      </c>
      <c s="1852" t="s">
        <v>2851</v>
      </c>
      <c s="1852" t="s">
        <v>2852</v>
      </c>
      <c s="1852" t="s">
        <v>2853</v>
      </c>
      <c s="1852" t="s">
        <v>808</v>
      </c>
    </row>
    <row r="161" spans="1:9" ht="11.25" customHeight="1">
      <c r="A161" s="1852" t="s">
        <v>2247</v>
      </c>
      <c s="1852" t="s">
        <v>16</v>
      </c>
      <c s="1852" t="s">
        <v>2854</v>
      </c>
      <c s="1852" t="s">
        <v>2855</v>
      </c>
      <c s="1852" t="s">
        <v>2856</v>
      </c>
      <c s="1852" t="s">
        <v>2265</v>
      </c>
      <c s="1852" t="s">
        <v>22</v>
      </c>
      <c s="1852" t="s">
        <v>22</v>
      </c>
      <c s="1852" t="s">
        <v>808</v>
      </c>
    </row>
    <row r="162" spans="1:9" ht="11.25" customHeight="1">
      <c r="A162" s="1852" t="s">
        <v>2247</v>
      </c>
      <c s="1852" t="s">
        <v>16</v>
      </c>
      <c s="1852" t="s">
        <v>2857</v>
      </c>
      <c s="1852" t="s">
        <v>2858</v>
      </c>
      <c s="1852" t="s">
        <v>2859</v>
      </c>
      <c s="1852" t="s">
        <v>2826</v>
      </c>
      <c s="1852" t="s">
        <v>2860</v>
      </c>
      <c s="1852" t="s">
        <v>22</v>
      </c>
      <c s="1852" t="s">
        <v>808</v>
      </c>
    </row>
    <row r="163" spans="1:9" ht="11.25" customHeight="1">
      <c r="A163" s="1852" t="s">
        <v>2247</v>
      </c>
      <c s="1852" t="s">
        <v>16</v>
      </c>
      <c s="1852" t="s">
        <v>2861</v>
      </c>
      <c s="1852" t="s">
        <v>2862</v>
      </c>
      <c s="1852" t="s">
        <v>2863</v>
      </c>
      <c s="1852" t="s">
        <v>2584</v>
      </c>
      <c s="1852" t="s">
        <v>2864</v>
      </c>
      <c s="1852" t="s">
        <v>22</v>
      </c>
      <c s="1852" t="s">
        <v>808</v>
      </c>
    </row>
    <row r="164" spans="1:9" ht="11.25" customHeight="1">
      <c r="A164" s="1852" t="s">
        <v>2247</v>
      </c>
      <c s="1852" t="s">
        <v>16</v>
      </c>
      <c s="1852" t="s">
        <v>2865</v>
      </c>
      <c s="1852" t="s">
        <v>2866</v>
      </c>
      <c s="1852" t="s">
        <v>2867</v>
      </c>
      <c s="1852" t="s">
        <v>2259</v>
      </c>
      <c s="1852" t="s">
        <v>2868</v>
      </c>
      <c s="1852" t="s">
        <v>22</v>
      </c>
      <c s="1852" t="s">
        <v>808</v>
      </c>
    </row>
    <row r="165" spans="1:9" ht="11.25" customHeight="1">
      <c r="A165" s="1852" t="s">
        <v>2247</v>
      </c>
      <c s="1852" t="s">
        <v>16</v>
      </c>
      <c s="1852" t="s">
        <v>2869</v>
      </c>
      <c s="1852" t="s">
        <v>2870</v>
      </c>
      <c s="1852" t="s">
        <v>2871</v>
      </c>
      <c s="1852" t="s">
        <v>2250</v>
      </c>
      <c s="1852" t="s">
        <v>22</v>
      </c>
      <c s="1852" t="s">
        <v>22</v>
      </c>
      <c s="1852" t="s">
        <v>808</v>
      </c>
    </row>
    <row r="166" spans="1:9" ht="11.25" customHeight="1">
      <c r="A166" s="1852" t="s">
        <v>2247</v>
      </c>
      <c s="1852" t="s">
        <v>16</v>
      </c>
      <c s="1852" t="s">
        <v>2872</v>
      </c>
      <c s="1852" t="s">
        <v>2873</v>
      </c>
      <c s="1852" t="s">
        <v>2874</v>
      </c>
      <c s="1852" t="s">
        <v>2659</v>
      </c>
      <c s="1852" t="s">
        <v>2875</v>
      </c>
      <c s="1852" t="s">
        <v>22</v>
      </c>
      <c s="1852" t="s">
        <v>808</v>
      </c>
    </row>
    <row r="167" spans="1:9" ht="11.25" customHeight="1">
      <c r="A167" s="1852" t="s">
        <v>2247</v>
      </c>
      <c s="1852" t="s">
        <v>16</v>
      </c>
      <c s="1852" t="s">
        <v>2876</v>
      </c>
      <c s="1852" t="s">
        <v>2877</v>
      </c>
      <c s="1852" t="s">
        <v>2878</v>
      </c>
      <c s="1852" t="s">
        <v>2272</v>
      </c>
      <c s="1852" t="s">
        <v>2879</v>
      </c>
      <c s="1852" t="s">
        <v>22</v>
      </c>
      <c s="1852" t="s">
        <v>808</v>
      </c>
    </row>
    <row r="168" spans="1:9" ht="11.25" customHeight="1">
      <c r="A168" s="1852" t="s">
        <v>2247</v>
      </c>
      <c s="1852" t="s">
        <v>16</v>
      </c>
      <c s="1852" t="s">
        <v>2880</v>
      </c>
      <c s="1852" t="s">
        <v>2881</v>
      </c>
      <c s="1852" t="s">
        <v>2882</v>
      </c>
      <c s="1852" t="s">
        <v>2467</v>
      </c>
      <c s="1852" t="s">
        <v>22</v>
      </c>
      <c s="1852" t="s">
        <v>22</v>
      </c>
      <c s="1852" t="s">
        <v>808</v>
      </c>
    </row>
    <row r="169" spans="1:9" ht="11.25" customHeight="1">
      <c r="A169" s="1852" t="s">
        <v>2247</v>
      </c>
      <c s="1852" t="s">
        <v>16</v>
      </c>
      <c s="1852" t="s">
        <v>2883</v>
      </c>
      <c s="1852" t="s">
        <v>2884</v>
      </c>
      <c s="1852" t="s">
        <v>2885</v>
      </c>
      <c s="1852" t="s">
        <v>2256</v>
      </c>
      <c s="1852" t="s">
        <v>2864</v>
      </c>
      <c s="1852" t="s">
        <v>22</v>
      </c>
      <c s="1852" t="s">
        <v>808</v>
      </c>
    </row>
    <row r="170" spans="1:9" ht="11.25" customHeight="1">
      <c r="A170" s="1852" t="s">
        <v>2247</v>
      </c>
      <c s="1852" t="s">
        <v>16</v>
      </c>
      <c s="1852" t="s">
        <v>2886</v>
      </c>
      <c s="1852" t="s">
        <v>2887</v>
      </c>
      <c s="1852" t="s">
        <v>2888</v>
      </c>
      <c s="1852" t="s">
        <v>2727</v>
      </c>
      <c s="1852" t="s">
        <v>22</v>
      </c>
      <c s="1852" t="s">
        <v>22</v>
      </c>
      <c s="1852" t="s">
        <v>808</v>
      </c>
    </row>
    <row r="171" spans="1:9" ht="11.25" customHeight="1">
      <c r="A171" s="1852" t="s">
        <v>2247</v>
      </c>
      <c s="1852" t="s">
        <v>16</v>
      </c>
      <c s="1852" t="s">
        <v>2889</v>
      </c>
      <c s="1852" t="s">
        <v>2890</v>
      </c>
      <c s="1852" t="s">
        <v>2891</v>
      </c>
      <c s="1852" t="s">
        <v>2411</v>
      </c>
      <c s="1852" t="s">
        <v>2892</v>
      </c>
      <c s="1852" t="s">
        <v>22</v>
      </c>
      <c s="1852" t="s">
        <v>808</v>
      </c>
    </row>
    <row r="172" spans="1:9" ht="11.25" customHeight="1">
      <c r="A172" s="1852" t="s">
        <v>2247</v>
      </c>
      <c s="1852" t="s">
        <v>16</v>
      </c>
      <c s="1852" t="s">
        <v>2893</v>
      </c>
      <c s="1852" t="s">
        <v>2894</v>
      </c>
      <c s="1852" t="s">
        <v>2895</v>
      </c>
      <c s="1852" t="s">
        <v>2256</v>
      </c>
      <c s="1852" t="s">
        <v>2896</v>
      </c>
      <c s="1852" t="s">
        <v>22</v>
      </c>
      <c s="1852" t="s">
        <v>808</v>
      </c>
    </row>
    <row r="173" spans="1:9" ht="11.25" customHeight="1">
      <c r="A173" s="1852" t="s">
        <v>2247</v>
      </c>
      <c s="1852" t="s">
        <v>16</v>
      </c>
      <c s="1852" t="s">
        <v>2897</v>
      </c>
      <c s="1852" t="s">
        <v>2898</v>
      </c>
      <c s="1852" t="s">
        <v>2555</v>
      </c>
      <c s="1852" t="s">
        <v>2899</v>
      </c>
      <c s="1852" t="s">
        <v>22</v>
      </c>
      <c s="1852" t="s">
        <v>22</v>
      </c>
      <c s="1852" t="s">
        <v>808</v>
      </c>
    </row>
    <row r="174" spans="1:9" ht="11.25" customHeight="1">
      <c r="A174" s="1852" t="s">
        <v>2247</v>
      </c>
      <c s="1852" t="s">
        <v>16</v>
      </c>
      <c s="1852" t="s">
        <v>2900</v>
      </c>
      <c s="1852" t="s">
        <v>2901</v>
      </c>
      <c s="1852" t="s">
        <v>2902</v>
      </c>
      <c s="1852" t="s">
        <v>2411</v>
      </c>
      <c s="1852" t="s">
        <v>2903</v>
      </c>
      <c s="1852" t="s">
        <v>22</v>
      </c>
      <c s="1852" t="s">
        <v>808</v>
      </c>
    </row>
    <row r="175" spans="1:9" ht="11.25" customHeight="1">
      <c r="A175" s="1852" t="s">
        <v>2247</v>
      </c>
      <c s="1852" t="s">
        <v>16</v>
      </c>
      <c s="1852" t="s">
        <v>2904</v>
      </c>
      <c s="1852" t="s">
        <v>2905</v>
      </c>
      <c s="1852" t="s">
        <v>2906</v>
      </c>
      <c s="1852" t="s">
        <v>2265</v>
      </c>
      <c s="1852" t="s">
        <v>2907</v>
      </c>
      <c s="1852" t="s">
        <v>22</v>
      </c>
      <c s="1852" t="s">
        <v>808</v>
      </c>
    </row>
    <row r="176" spans="1:9" ht="11.25" customHeight="1">
      <c r="A176" s="1852" t="s">
        <v>2247</v>
      </c>
      <c s="1852" t="s">
        <v>16</v>
      </c>
      <c s="1852" t="s">
        <v>2908</v>
      </c>
      <c s="1852" t="s">
        <v>2909</v>
      </c>
      <c s="1852" t="s">
        <v>2910</v>
      </c>
      <c s="1852" t="s">
        <v>2826</v>
      </c>
      <c s="1852" t="s">
        <v>22</v>
      </c>
      <c s="1852" t="s">
        <v>22</v>
      </c>
      <c s="1852" t="s">
        <v>808</v>
      </c>
    </row>
    <row r="177" spans="1:9" ht="11.25" customHeight="1">
      <c r="A177" s="1852" t="s">
        <v>2247</v>
      </c>
      <c s="1852" t="s">
        <v>16</v>
      </c>
      <c s="1852" t="s">
        <v>2911</v>
      </c>
      <c s="1852" t="s">
        <v>2912</v>
      </c>
      <c s="1852" t="s">
        <v>2913</v>
      </c>
      <c s="1852" t="s">
        <v>2347</v>
      </c>
      <c s="1852" t="s">
        <v>2914</v>
      </c>
      <c s="1852" t="s">
        <v>22</v>
      </c>
      <c s="1852" t="s">
        <v>808</v>
      </c>
    </row>
    <row r="178" spans="1:9" ht="11.25" customHeight="1">
      <c r="A178" s="1852" t="s">
        <v>2247</v>
      </c>
      <c s="1852" t="s">
        <v>16</v>
      </c>
      <c s="1852" t="s">
        <v>2915</v>
      </c>
      <c s="1852" t="s">
        <v>2916</v>
      </c>
      <c s="1852" t="s">
        <v>2917</v>
      </c>
      <c s="1852" t="s">
        <v>2272</v>
      </c>
      <c s="1852" t="s">
        <v>2918</v>
      </c>
      <c s="1852" t="s">
        <v>22</v>
      </c>
      <c s="1852" t="s">
        <v>808</v>
      </c>
    </row>
    <row r="179" spans="1:9" ht="11.25" customHeight="1">
      <c r="A179" s="1852" t="s">
        <v>2247</v>
      </c>
      <c s="1852" t="s">
        <v>16</v>
      </c>
      <c s="1852" t="s">
        <v>2919</v>
      </c>
      <c s="1852" t="s">
        <v>2920</v>
      </c>
      <c s="1852" t="s">
        <v>2921</v>
      </c>
      <c s="1852" t="s">
        <v>2347</v>
      </c>
      <c s="1852" t="s">
        <v>2922</v>
      </c>
      <c s="1852" t="s">
        <v>22</v>
      </c>
      <c s="1852" t="s">
        <v>808</v>
      </c>
    </row>
    <row r="180" spans="1:9" ht="11.25" customHeight="1">
      <c r="A180" s="1852" t="s">
        <v>2247</v>
      </c>
      <c s="1852" t="s">
        <v>16</v>
      </c>
      <c s="1852" t="s">
        <v>2923</v>
      </c>
      <c s="1852" t="s">
        <v>2924</v>
      </c>
      <c s="1852" t="s">
        <v>2925</v>
      </c>
      <c s="1852" t="s">
        <v>2262</v>
      </c>
      <c s="1852" t="s">
        <v>22</v>
      </c>
      <c s="1852" t="s">
        <v>22</v>
      </c>
      <c s="1852" t="s">
        <v>808</v>
      </c>
    </row>
    <row r="181" spans="1:9" ht="11.25" customHeight="1">
      <c r="A181" s="1852" t="s">
        <v>2247</v>
      </c>
      <c s="1852" t="s">
        <v>16</v>
      </c>
      <c s="1852" t="s">
        <v>2926</v>
      </c>
      <c s="1852" t="s">
        <v>2927</v>
      </c>
      <c s="1852" t="s">
        <v>2928</v>
      </c>
      <c s="1852" t="s">
        <v>2272</v>
      </c>
      <c s="1852" t="s">
        <v>2929</v>
      </c>
      <c s="1852" t="s">
        <v>22</v>
      </c>
      <c s="1852" t="s">
        <v>808</v>
      </c>
    </row>
    <row r="182" spans="1:9" ht="11.25" customHeight="1">
      <c r="A182" s="1852" t="s">
        <v>2247</v>
      </c>
      <c s="1852" t="s">
        <v>16</v>
      </c>
      <c s="1852" t="s">
        <v>2930</v>
      </c>
      <c s="1852" t="s">
        <v>2931</v>
      </c>
      <c s="1852" t="s">
        <v>2932</v>
      </c>
      <c s="1852" t="s">
        <v>2826</v>
      </c>
      <c s="1852" t="s">
        <v>22</v>
      </c>
      <c s="1852" t="s">
        <v>22</v>
      </c>
      <c s="1852" t="s">
        <v>808</v>
      </c>
    </row>
    <row r="183" spans="1:9" ht="11.25" customHeight="1">
      <c r="A183" s="1852" t="s">
        <v>2247</v>
      </c>
      <c s="1852" t="s">
        <v>16</v>
      </c>
      <c s="1852" t="s">
        <v>2933</v>
      </c>
      <c s="1852" t="s">
        <v>2934</v>
      </c>
      <c s="1852" t="s">
        <v>2935</v>
      </c>
      <c s="1852" t="s">
        <v>2826</v>
      </c>
      <c s="1852" t="s">
        <v>2936</v>
      </c>
      <c s="1852" t="s">
        <v>22</v>
      </c>
      <c s="1852" t="s">
        <v>808</v>
      </c>
    </row>
    <row r="184" spans="1:9" ht="11.25" customHeight="1">
      <c r="A184" s="1852" t="s">
        <v>2247</v>
      </c>
      <c s="1852" t="s">
        <v>16</v>
      </c>
      <c s="1852" t="s">
        <v>2937</v>
      </c>
      <c s="1852" t="s">
        <v>2938</v>
      </c>
      <c s="1852" t="s">
        <v>2939</v>
      </c>
      <c s="1852" t="s">
        <v>51</v>
      </c>
      <c s="1852" t="s">
        <v>2940</v>
      </c>
      <c s="1852" t="s">
        <v>22</v>
      </c>
      <c s="1852" t="s">
        <v>808</v>
      </c>
    </row>
    <row r="185" spans="1:9" ht="11.25" customHeight="1">
      <c r="A185" s="1852" t="s">
        <v>2247</v>
      </c>
      <c s="1852" t="s">
        <v>16</v>
      </c>
      <c s="1852" t="s">
        <v>2941</v>
      </c>
      <c s="1852" t="s">
        <v>2942</v>
      </c>
      <c s="1852" t="s">
        <v>2943</v>
      </c>
      <c s="1852" t="s">
        <v>2277</v>
      </c>
      <c s="1852" t="s">
        <v>2944</v>
      </c>
      <c s="1852" t="s">
        <v>22</v>
      </c>
      <c s="1852" t="s">
        <v>808</v>
      </c>
    </row>
    <row r="186" spans="1:9" ht="11.25" customHeight="1">
      <c r="A186" s="1852" t="s">
        <v>2247</v>
      </c>
      <c s="1852" t="s">
        <v>16</v>
      </c>
      <c s="1852" t="s">
        <v>2945</v>
      </c>
      <c s="1852" t="s">
        <v>2946</v>
      </c>
      <c s="1852" t="s">
        <v>2947</v>
      </c>
      <c s="1852" t="s">
        <v>2272</v>
      </c>
      <c s="1852" t="s">
        <v>2671</v>
      </c>
      <c s="1852" t="s">
        <v>22</v>
      </c>
      <c s="1852" t="s">
        <v>808</v>
      </c>
    </row>
    <row r="187" spans="1:9" ht="11.25" customHeight="1">
      <c r="A187" s="1852" t="s">
        <v>2247</v>
      </c>
      <c s="1852" t="s">
        <v>16</v>
      </c>
      <c s="1852" t="s">
        <v>2948</v>
      </c>
      <c s="1852" t="s">
        <v>2949</v>
      </c>
      <c s="1852" t="s">
        <v>2950</v>
      </c>
      <c s="1852" t="s">
        <v>51</v>
      </c>
      <c s="1852" t="s">
        <v>22</v>
      </c>
      <c s="1852" t="s">
        <v>22</v>
      </c>
      <c s="1852" t="s">
        <v>808</v>
      </c>
    </row>
    <row r="188" spans="1:9" ht="11.25" customHeight="1">
      <c r="A188" s="1852" t="s">
        <v>2247</v>
      </c>
      <c s="1852" t="s">
        <v>16</v>
      </c>
      <c s="1852" t="s">
        <v>2951</v>
      </c>
      <c s="1852" t="s">
        <v>2952</v>
      </c>
      <c s="1852" t="s">
        <v>2953</v>
      </c>
      <c s="1852" t="s">
        <v>2277</v>
      </c>
      <c s="1852" t="s">
        <v>22</v>
      </c>
      <c s="1852" t="s">
        <v>22</v>
      </c>
      <c s="1852" t="s">
        <v>808</v>
      </c>
    </row>
    <row r="189" spans="1:9" ht="11.25" customHeight="1">
      <c r="A189" s="1852" t="s">
        <v>2247</v>
      </c>
      <c s="1852" t="s">
        <v>16</v>
      </c>
      <c s="1852" t="s">
        <v>2954</v>
      </c>
      <c s="1852" t="s">
        <v>2955</v>
      </c>
      <c s="1852" t="s">
        <v>2956</v>
      </c>
      <c s="1852" t="s">
        <v>2347</v>
      </c>
      <c s="1852" t="s">
        <v>2957</v>
      </c>
      <c s="1852" t="s">
        <v>22</v>
      </c>
      <c s="1852" t="s">
        <v>808</v>
      </c>
    </row>
    <row r="190" spans="1:9" ht="11.25" customHeight="1">
      <c r="A190" s="1852" t="s">
        <v>2247</v>
      </c>
      <c s="1852" t="s">
        <v>16</v>
      </c>
      <c s="1852" t="s">
        <v>2958</v>
      </c>
      <c s="1852" t="s">
        <v>2959</v>
      </c>
      <c s="1852" t="s">
        <v>2960</v>
      </c>
      <c s="1852" t="s">
        <v>51</v>
      </c>
      <c s="1852" t="s">
        <v>2961</v>
      </c>
      <c s="1852" t="s">
        <v>22</v>
      </c>
      <c s="1852" t="s">
        <v>808</v>
      </c>
    </row>
    <row r="191" spans="1:9" ht="11.25" customHeight="1">
      <c r="A191" s="1852" t="s">
        <v>2247</v>
      </c>
      <c s="1852" t="s">
        <v>16</v>
      </c>
      <c s="1852" t="s">
        <v>2962</v>
      </c>
      <c s="1852" t="s">
        <v>2963</v>
      </c>
      <c s="1852" t="s">
        <v>2964</v>
      </c>
      <c s="1852" t="s">
        <v>51</v>
      </c>
      <c s="1852" t="s">
        <v>2965</v>
      </c>
      <c s="1852" t="s">
        <v>22</v>
      </c>
      <c s="1852" t="s">
        <v>808</v>
      </c>
    </row>
    <row r="192" spans="1:9" ht="11.25" customHeight="1">
      <c r="A192" s="1852" t="s">
        <v>2247</v>
      </c>
      <c s="1852" t="s">
        <v>16</v>
      </c>
      <c s="1852" t="s">
        <v>2966</v>
      </c>
      <c s="1852" t="s">
        <v>2967</v>
      </c>
      <c s="1852" t="s">
        <v>2968</v>
      </c>
      <c s="1852" t="s">
        <v>2636</v>
      </c>
      <c s="1852" t="s">
        <v>22</v>
      </c>
      <c s="1852" t="s">
        <v>22</v>
      </c>
      <c s="1852" t="s">
        <v>808</v>
      </c>
    </row>
    <row r="193" spans="1:9" ht="11.25" customHeight="1">
      <c r="A193" s="1852" t="s">
        <v>2247</v>
      </c>
      <c s="1852" t="s">
        <v>16</v>
      </c>
      <c s="1852" t="s">
        <v>2969</v>
      </c>
      <c s="1852" t="s">
        <v>2970</v>
      </c>
      <c s="1852" t="s">
        <v>2971</v>
      </c>
      <c s="1852" t="s">
        <v>2277</v>
      </c>
      <c s="1852" t="s">
        <v>2972</v>
      </c>
      <c s="1852" t="s">
        <v>22</v>
      </c>
      <c s="1852" t="s">
        <v>808</v>
      </c>
    </row>
    <row r="194" spans="1:9" ht="11.25" customHeight="1">
      <c r="A194" s="1852" t="s">
        <v>2247</v>
      </c>
      <c s="1852" t="s">
        <v>16</v>
      </c>
      <c s="1852" t="s">
        <v>2973</v>
      </c>
      <c s="1852" t="s">
        <v>2974</v>
      </c>
      <c s="1852" t="s">
        <v>2975</v>
      </c>
      <c s="1852" t="s">
        <v>2620</v>
      </c>
      <c s="1852" t="s">
        <v>2976</v>
      </c>
      <c s="1852" t="s">
        <v>22</v>
      </c>
      <c s="1852" t="s">
        <v>808</v>
      </c>
    </row>
    <row r="195" spans="1:9" ht="11.25" customHeight="1">
      <c r="A195" s="1852" t="s">
        <v>2247</v>
      </c>
      <c s="1852" t="s">
        <v>16</v>
      </c>
      <c s="1852" t="s">
        <v>2977</v>
      </c>
      <c s="1852" t="s">
        <v>2978</v>
      </c>
      <c s="1852" t="s">
        <v>2979</v>
      </c>
      <c s="1852" t="s">
        <v>2272</v>
      </c>
      <c s="1852" t="s">
        <v>2980</v>
      </c>
      <c s="1852" t="s">
        <v>22</v>
      </c>
      <c s="1852" t="s">
        <v>808</v>
      </c>
    </row>
    <row r="196" spans="1:9" ht="11.25" customHeight="1">
      <c r="A196" s="1852" t="s">
        <v>2247</v>
      </c>
      <c s="1852" t="s">
        <v>16</v>
      </c>
      <c s="1852" t="s">
        <v>2981</v>
      </c>
      <c s="1852" t="s">
        <v>2982</v>
      </c>
      <c s="1852" t="s">
        <v>2983</v>
      </c>
      <c s="1852" t="s">
        <v>2272</v>
      </c>
      <c s="1852" t="s">
        <v>2984</v>
      </c>
      <c s="1852" t="s">
        <v>22</v>
      </c>
      <c s="1852" t="s">
        <v>808</v>
      </c>
    </row>
    <row r="197" spans="1:9" ht="11.25" customHeight="1">
      <c r="A197" s="1852" t="s">
        <v>2247</v>
      </c>
      <c s="1852" t="s">
        <v>16</v>
      </c>
      <c s="1852" t="s">
        <v>2985</v>
      </c>
      <c s="1852" t="s">
        <v>2986</v>
      </c>
      <c s="1852" t="s">
        <v>2987</v>
      </c>
      <c s="1852" t="s">
        <v>2988</v>
      </c>
      <c s="1852" t="s">
        <v>2989</v>
      </c>
      <c s="1852" t="s">
        <v>22</v>
      </c>
      <c s="1852" t="s">
        <v>808</v>
      </c>
    </row>
    <row r="198" spans="1:9" ht="11.25" customHeight="1">
      <c r="A198" s="1852" t="s">
        <v>2247</v>
      </c>
      <c s="1852" t="s">
        <v>16</v>
      </c>
      <c s="1852" t="s">
        <v>2990</v>
      </c>
      <c s="1852" t="s">
        <v>2991</v>
      </c>
      <c s="1852" t="s">
        <v>2992</v>
      </c>
      <c s="1852" t="s">
        <v>2993</v>
      </c>
      <c s="1852" t="s">
        <v>2994</v>
      </c>
      <c s="1852" t="s">
        <v>22</v>
      </c>
      <c s="1852" t="s">
        <v>808</v>
      </c>
    </row>
    <row r="199" spans="1:9" ht="11.25" customHeight="1">
      <c r="A199" s="1852" t="s">
        <v>2247</v>
      </c>
      <c s="1852" t="s">
        <v>16</v>
      </c>
      <c s="1852" t="s">
        <v>2995</v>
      </c>
      <c s="1852" t="s">
        <v>2996</v>
      </c>
      <c s="1852" t="s">
        <v>2997</v>
      </c>
      <c s="1852" t="s">
        <v>2988</v>
      </c>
      <c s="1852" t="s">
        <v>2998</v>
      </c>
      <c s="1852" t="s">
        <v>22</v>
      </c>
      <c s="1852" t="s">
        <v>808</v>
      </c>
    </row>
    <row r="200" spans="1:9" ht="11.25" customHeight="1">
      <c r="A200" s="1852" t="s">
        <v>2247</v>
      </c>
      <c s="1852" t="s">
        <v>16</v>
      </c>
      <c s="1852" t="s">
        <v>2999</v>
      </c>
      <c s="1852" t="s">
        <v>3000</v>
      </c>
      <c s="1852" t="s">
        <v>3001</v>
      </c>
      <c s="1852" t="s">
        <v>2399</v>
      </c>
      <c s="1852" t="s">
        <v>3002</v>
      </c>
      <c s="1852" t="s">
        <v>22</v>
      </c>
      <c s="1852" t="s">
        <v>808</v>
      </c>
    </row>
    <row r="201" spans="1:9" ht="11.25" customHeight="1">
      <c r="A201" s="1852" t="s">
        <v>2247</v>
      </c>
      <c s="1852" t="s">
        <v>16</v>
      </c>
      <c s="1852" t="s">
        <v>3003</v>
      </c>
      <c s="1852" t="s">
        <v>3004</v>
      </c>
      <c s="1852" t="s">
        <v>3005</v>
      </c>
      <c s="1852" t="s">
        <v>51</v>
      </c>
      <c s="1852" t="s">
        <v>3006</v>
      </c>
      <c s="1852" t="s">
        <v>22</v>
      </c>
      <c s="1852" t="s">
        <v>808</v>
      </c>
    </row>
    <row r="202" spans="1:9" ht="11.25" customHeight="1">
      <c r="A202" s="1852" t="s">
        <v>2247</v>
      </c>
      <c s="1852" t="s">
        <v>16</v>
      </c>
      <c s="1852" t="s">
        <v>3007</v>
      </c>
      <c s="1852" t="s">
        <v>3008</v>
      </c>
      <c s="1852" t="s">
        <v>3009</v>
      </c>
      <c s="1852" t="s">
        <v>2277</v>
      </c>
      <c s="1852" t="s">
        <v>3010</v>
      </c>
      <c s="1852" t="s">
        <v>22</v>
      </c>
      <c s="1852" t="s">
        <v>808</v>
      </c>
    </row>
    <row r="203" spans="1:9" ht="11.25" customHeight="1">
      <c r="A203" s="1852" t="s">
        <v>2247</v>
      </c>
      <c s="1852" t="s">
        <v>16</v>
      </c>
      <c s="1852" t="s">
        <v>3011</v>
      </c>
      <c s="1852" t="s">
        <v>3012</v>
      </c>
      <c s="1852" t="s">
        <v>3013</v>
      </c>
      <c s="1852" t="s">
        <v>51</v>
      </c>
      <c s="1852" t="s">
        <v>2415</v>
      </c>
      <c s="1852" t="s">
        <v>22</v>
      </c>
      <c s="1852" t="s">
        <v>808</v>
      </c>
    </row>
    <row r="204" spans="1:9" ht="11.25" customHeight="1">
      <c r="A204" s="1852" t="s">
        <v>2247</v>
      </c>
      <c s="1852" t="s">
        <v>16</v>
      </c>
      <c s="1852" t="s">
        <v>3014</v>
      </c>
      <c s="1852" t="s">
        <v>3015</v>
      </c>
      <c s="1852" t="s">
        <v>3016</v>
      </c>
      <c s="1852" t="s">
        <v>2620</v>
      </c>
      <c s="1852" t="s">
        <v>3017</v>
      </c>
      <c s="1852" t="s">
        <v>22</v>
      </c>
      <c s="1852" t="s">
        <v>808</v>
      </c>
    </row>
    <row r="205" spans="1:9" ht="11.25" customHeight="1">
      <c r="A205" s="1852" t="s">
        <v>2247</v>
      </c>
      <c s="1852" t="s">
        <v>16</v>
      </c>
      <c s="1852" t="s">
        <v>3018</v>
      </c>
      <c s="1852" t="s">
        <v>3019</v>
      </c>
      <c s="1852" t="s">
        <v>3020</v>
      </c>
      <c s="1852" t="s">
        <v>2511</v>
      </c>
      <c s="1852" t="s">
        <v>22</v>
      </c>
      <c s="1852" t="s">
        <v>22</v>
      </c>
      <c s="1852" t="s">
        <v>808</v>
      </c>
    </row>
    <row r="206" spans="1:9" ht="11.25" customHeight="1">
      <c r="A206" s="1852" t="s">
        <v>2247</v>
      </c>
      <c s="1852" t="s">
        <v>16</v>
      </c>
      <c s="1852" t="s">
        <v>3021</v>
      </c>
      <c s="1852" t="s">
        <v>3022</v>
      </c>
      <c s="1852" t="s">
        <v>3023</v>
      </c>
      <c s="1852" t="s">
        <v>2347</v>
      </c>
      <c s="1852" t="s">
        <v>3024</v>
      </c>
      <c s="1852" t="s">
        <v>22</v>
      </c>
      <c s="1852" t="s">
        <v>808</v>
      </c>
    </row>
    <row r="207" spans="1:9" ht="11.25" customHeight="1">
      <c r="A207" s="1852" t="s">
        <v>2247</v>
      </c>
      <c s="1852" t="s">
        <v>16</v>
      </c>
      <c s="1852" t="s">
        <v>3025</v>
      </c>
      <c s="1852" t="s">
        <v>3026</v>
      </c>
      <c s="1852" t="s">
        <v>3027</v>
      </c>
      <c s="1852" t="s">
        <v>51</v>
      </c>
      <c s="1852" t="s">
        <v>22</v>
      </c>
      <c s="1852" t="s">
        <v>22</v>
      </c>
      <c s="1852" t="s">
        <v>808</v>
      </c>
    </row>
    <row r="208" spans="1:9" ht="11.25" customHeight="1">
      <c r="A208" s="1852" t="s">
        <v>2247</v>
      </c>
      <c s="1852" t="s">
        <v>16</v>
      </c>
      <c s="1852" t="s">
        <v>3028</v>
      </c>
      <c s="1852" t="s">
        <v>3029</v>
      </c>
      <c s="1852" t="s">
        <v>3030</v>
      </c>
      <c s="1852" t="s">
        <v>2571</v>
      </c>
      <c s="1852" t="s">
        <v>22</v>
      </c>
      <c s="1852" t="s">
        <v>22</v>
      </c>
      <c s="1852" t="s">
        <v>808</v>
      </c>
    </row>
    <row r="209" spans="1:9" ht="11.25" customHeight="1">
      <c r="A209" s="1852" t="s">
        <v>2247</v>
      </c>
      <c s="1852" t="s">
        <v>16</v>
      </c>
      <c s="1852" t="s">
        <v>3031</v>
      </c>
      <c s="1852" t="s">
        <v>3032</v>
      </c>
      <c s="1852" t="s">
        <v>3033</v>
      </c>
      <c s="1852" t="s">
        <v>2347</v>
      </c>
      <c s="1852" t="s">
        <v>3034</v>
      </c>
      <c s="1852" t="s">
        <v>22</v>
      </c>
      <c s="1852" t="s">
        <v>808</v>
      </c>
    </row>
    <row r="210" spans="1:9" ht="11.25" customHeight="1">
      <c r="A210" s="1852" t="s">
        <v>2247</v>
      </c>
      <c s="1852" t="s">
        <v>16</v>
      </c>
      <c s="1852" t="s">
        <v>3035</v>
      </c>
      <c s="1852" t="s">
        <v>3036</v>
      </c>
      <c s="1852" t="s">
        <v>3037</v>
      </c>
      <c s="1852" t="s">
        <v>2357</v>
      </c>
      <c s="1852" t="s">
        <v>3038</v>
      </c>
      <c s="1852" t="s">
        <v>22</v>
      </c>
      <c s="1852" t="s">
        <v>808</v>
      </c>
    </row>
    <row r="211" spans="1:9" ht="11.25" customHeight="1">
      <c r="A211" s="1852" t="s">
        <v>2247</v>
      </c>
      <c s="1852" t="s">
        <v>16</v>
      </c>
      <c s="1852" t="s">
        <v>3039</v>
      </c>
      <c s="1852" t="s">
        <v>3040</v>
      </c>
      <c s="1852" t="s">
        <v>3041</v>
      </c>
      <c s="1852" t="s">
        <v>2256</v>
      </c>
      <c s="1852" t="s">
        <v>3042</v>
      </c>
      <c s="1852" t="s">
        <v>22</v>
      </c>
      <c s="1852" t="s">
        <v>808</v>
      </c>
    </row>
    <row r="212" spans="1:9" ht="11.25" customHeight="1">
      <c r="A212" s="1852" t="s">
        <v>2247</v>
      </c>
      <c s="1852" t="s">
        <v>16</v>
      </c>
      <c s="1852" t="s">
        <v>3043</v>
      </c>
      <c s="1852" t="s">
        <v>3044</v>
      </c>
      <c s="1852" t="s">
        <v>3045</v>
      </c>
      <c s="1852" t="s">
        <v>51</v>
      </c>
      <c s="1852" t="s">
        <v>3046</v>
      </c>
      <c s="1852" t="s">
        <v>22</v>
      </c>
      <c s="1852" t="s">
        <v>808</v>
      </c>
    </row>
    <row r="213" spans="1:9" ht="11.25" customHeight="1">
      <c r="A213" s="1852" t="s">
        <v>2247</v>
      </c>
      <c s="1852" t="s">
        <v>16</v>
      </c>
      <c s="1852" t="s">
        <v>3047</v>
      </c>
      <c s="1852" t="s">
        <v>3048</v>
      </c>
      <c s="1852" t="s">
        <v>3049</v>
      </c>
      <c s="1852" t="s">
        <v>2256</v>
      </c>
      <c s="1852" t="s">
        <v>3050</v>
      </c>
      <c s="1852" t="s">
        <v>22</v>
      </c>
      <c s="1852" t="s">
        <v>808</v>
      </c>
    </row>
    <row r="214" spans="1:9" ht="11.25" customHeight="1">
      <c r="A214" s="1852" t="s">
        <v>2247</v>
      </c>
      <c s="1852" t="s">
        <v>16</v>
      </c>
      <c s="1852" t="s">
        <v>3051</v>
      </c>
      <c s="1852" t="s">
        <v>3052</v>
      </c>
      <c s="1852" t="s">
        <v>3053</v>
      </c>
      <c s="1852" t="s">
        <v>51</v>
      </c>
      <c s="1852" t="s">
        <v>3054</v>
      </c>
      <c s="1852" t="s">
        <v>22</v>
      </c>
      <c s="1852" t="s">
        <v>808</v>
      </c>
    </row>
    <row r="215" spans="1:9" ht="11.25" customHeight="1">
      <c r="A215" s="1852" t="s">
        <v>2247</v>
      </c>
      <c s="1852" t="s">
        <v>16</v>
      </c>
      <c s="1852" t="s">
        <v>3055</v>
      </c>
      <c s="1852" t="s">
        <v>3056</v>
      </c>
      <c s="1852" t="s">
        <v>3057</v>
      </c>
      <c s="1852" t="s">
        <v>2347</v>
      </c>
      <c s="1852" t="s">
        <v>3058</v>
      </c>
      <c s="1852" t="s">
        <v>22</v>
      </c>
      <c s="1852" t="s">
        <v>808</v>
      </c>
    </row>
    <row r="216" spans="1:9" ht="11.25" customHeight="1">
      <c r="A216" s="1852" t="s">
        <v>2247</v>
      </c>
      <c s="1852" t="s">
        <v>16</v>
      </c>
      <c s="1852" t="s">
        <v>3059</v>
      </c>
      <c s="1852" t="s">
        <v>3060</v>
      </c>
      <c s="1852" t="s">
        <v>3061</v>
      </c>
      <c s="1852" t="s">
        <v>3062</v>
      </c>
      <c s="1852" t="s">
        <v>3063</v>
      </c>
      <c s="1852" t="s">
        <v>22</v>
      </c>
      <c s="1852" t="s">
        <v>808</v>
      </c>
    </row>
    <row r="217" spans="1:9" ht="11.25" customHeight="1">
      <c r="A217" s="1852" t="s">
        <v>2247</v>
      </c>
      <c s="1852" t="s">
        <v>16</v>
      </c>
      <c s="1852" t="s">
        <v>3064</v>
      </c>
      <c s="1852" t="s">
        <v>3065</v>
      </c>
      <c s="1852" t="s">
        <v>3066</v>
      </c>
      <c s="1852" t="s">
        <v>2584</v>
      </c>
      <c s="1852" t="s">
        <v>22</v>
      </c>
      <c s="1852" t="s">
        <v>22</v>
      </c>
      <c s="1852" t="s">
        <v>808</v>
      </c>
    </row>
    <row r="218" spans="1:9" ht="11.25" customHeight="1">
      <c r="A218" s="1852" t="s">
        <v>2247</v>
      </c>
      <c s="1852" t="s">
        <v>16</v>
      </c>
      <c s="1852" t="s">
        <v>3067</v>
      </c>
      <c s="1852" t="s">
        <v>3068</v>
      </c>
      <c s="1852" t="s">
        <v>3069</v>
      </c>
      <c s="1852" t="s">
        <v>2347</v>
      </c>
      <c s="1852" t="s">
        <v>3070</v>
      </c>
      <c s="1852" t="s">
        <v>22</v>
      </c>
      <c s="1852" t="s">
        <v>808</v>
      </c>
    </row>
    <row r="219" spans="1:9" ht="11.25" customHeight="1">
      <c r="A219" s="1852" t="s">
        <v>2247</v>
      </c>
      <c s="1852" t="s">
        <v>16</v>
      </c>
      <c s="1852" t="s">
        <v>3071</v>
      </c>
      <c s="1852" t="s">
        <v>3072</v>
      </c>
      <c s="1852" t="s">
        <v>3073</v>
      </c>
      <c s="1852" t="s">
        <v>2411</v>
      </c>
      <c s="1852" t="s">
        <v>3074</v>
      </c>
      <c s="1852" t="s">
        <v>22</v>
      </c>
      <c s="1852" t="s">
        <v>808</v>
      </c>
    </row>
    <row r="220" spans="1:9" ht="11.25" customHeight="1">
      <c r="A220" s="1852" t="s">
        <v>2247</v>
      </c>
      <c s="1852" t="s">
        <v>16</v>
      </c>
      <c s="1852" t="s">
        <v>3075</v>
      </c>
      <c s="1852" t="s">
        <v>3076</v>
      </c>
      <c s="1852" t="s">
        <v>3077</v>
      </c>
      <c s="1852" t="s">
        <v>51</v>
      </c>
      <c s="1852" t="s">
        <v>3078</v>
      </c>
      <c s="1852" t="s">
        <v>22</v>
      </c>
      <c s="1852" t="s">
        <v>808</v>
      </c>
    </row>
    <row r="221" spans="1:9" ht="11.25" customHeight="1">
      <c r="A221" s="1852" t="s">
        <v>2247</v>
      </c>
      <c s="1852" t="s">
        <v>16</v>
      </c>
      <c s="1852" t="s">
        <v>3079</v>
      </c>
      <c s="1852" t="s">
        <v>3080</v>
      </c>
      <c s="1852" t="s">
        <v>3081</v>
      </c>
      <c s="1852" t="s">
        <v>3082</v>
      </c>
      <c s="1852" t="s">
        <v>3083</v>
      </c>
      <c s="1852" t="s">
        <v>22</v>
      </c>
      <c s="1852" t="s">
        <v>808</v>
      </c>
    </row>
    <row r="222" spans="1:9" ht="11.25" customHeight="1">
      <c r="A222" s="1852" t="s">
        <v>2247</v>
      </c>
      <c s="1852" t="s">
        <v>16</v>
      </c>
      <c s="1852" t="s">
        <v>3084</v>
      </c>
      <c s="1852" t="s">
        <v>3085</v>
      </c>
      <c s="1852" t="s">
        <v>3086</v>
      </c>
      <c s="1852" t="s">
        <v>2272</v>
      </c>
      <c s="1852" t="s">
        <v>3087</v>
      </c>
      <c s="1852" t="s">
        <v>22</v>
      </c>
      <c s="1852" t="s">
        <v>808</v>
      </c>
    </row>
    <row r="223" spans="1:9" ht="11.25" customHeight="1">
      <c r="A223" s="1852" t="s">
        <v>2247</v>
      </c>
      <c s="1852" t="s">
        <v>16</v>
      </c>
      <c s="1852" t="s">
        <v>3088</v>
      </c>
      <c s="1852" t="s">
        <v>3089</v>
      </c>
      <c s="1852" t="s">
        <v>3090</v>
      </c>
      <c s="1852" t="s">
        <v>2265</v>
      </c>
      <c s="1852" t="s">
        <v>3091</v>
      </c>
      <c s="1852" t="s">
        <v>22</v>
      </c>
      <c s="1852" t="s">
        <v>808</v>
      </c>
    </row>
    <row r="224" spans="1:9" ht="11.25" customHeight="1">
      <c r="A224" s="1852" t="s">
        <v>2247</v>
      </c>
      <c s="1852" t="s">
        <v>16</v>
      </c>
      <c s="1852" t="s">
        <v>3092</v>
      </c>
      <c s="1852" t="s">
        <v>3093</v>
      </c>
      <c s="1852" t="s">
        <v>3094</v>
      </c>
      <c s="1852" t="s">
        <v>2256</v>
      </c>
      <c s="1852" t="s">
        <v>22</v>
      </c>
      <c s="1852" t="s">
        <v>22</v>
      </c>
      <c s="1852" t="s">
        <v>808</v>
      </c>
    </row>
    <row r="225" spans="1:9" ht="11.25" customHeight="1">
      <c r="A225" s="1852" t="s">
        <v>2247</v>
      </c>
      <c s="1852" t="s">
        <v>16</v>
      </c>
      <c s="1852" t="s">
        <v>3095</v>
      </c>
      <c s="1852" t="s">
        <v>3096</v>
      </c>
      <c s="1852" t="s">
        <v>3097</v>
      </c>
      <c s="1852" t="s">
        <v>3098</v>
      </c>
      <c s="1852" t="s">
        <v>3099</v>
      </c>
      <c s="1852" t="s">
        <v>22</v>
      </c>
      <c s="1852" t="s">
        <v>808</v>
      </c>
    </row>
    <row r="226" spans="1:9" ht="11.25" customHeight="1">
      <c r="A226" s="1852" t="s">
        <v>2247</v>
      </c>
      <c s="1852" t="s">
        <v>16</v>
      </c>
      <c s="1852" t="s">
        <v>3100</v>
      </c>
      <c s="1852" t="s">
        <v>3101</v>
      </c>
      <c s="1852" t="s">
        <v>3102</v>
      </c>
      <c s="1852" t="s">
        <v>51</v>
      </c>
      <c s="1852" t="s">
        <v>3103</v>
      </c>
      <c s="1852" t="s">
        <v>22</v>
      </c>
      <c s="1852" t="s">
        <v>808</v>
      </c>
    </row>
    <row r="227" spans="1:9" ht="11.25" customHeight="1">
      <c r="A227" s="1852" t="s">
        <v>2247</v>
      </c>
      <c s="1852" t="s">
        <v>16</v>
      </c>
      <c s="1852" t="s">
        <v>3104</v>
      </c>
      <c s="1852" t="s">
        <v>3105</v>
      </c>
      <c s="1852" t="s">
        <v>3106</v>
      </c>
      <c s="1852" t="s">
        <v>2291</v>
      </c>
      <c s="1852" t="s">
        <v>22</v>
      </c>
      <c s="1852" t="s">
        <v>22</v>
      </c>
      <c s="1852" t="s">
        <v>808</v>
      </c>
    </row>
    <row r="228" spans="1:9" ht="11.25" customHeight="1">
      <c r="A228" s="1852" t="s">
        <v>2247</v>
      </c>
      <c s="1852" t="s">
        <v>16</v>
      </c>
      <c s="1852" t="s">
        <v>3107</v>
      </c>
      <c s="1852" t="s">
        <v>3108</v>
      </c>
      <c s="1852" t="s">
        <v>3109</v>
      </c>
      <c s="1852" t="s">
        <v>2256</v>
      </c>
      <c s="1852" t="s">
        <v>3110</v>
      </c>
      <c s="1852" t="s">
        <v>22</v>
      </c>
      <c s="1852" t="s">
        <v>808</v>
      </c>
    </row>
    <row r="229" spans="1:9" ht="11.25" customHeight="1">
      <c r="A229" s="1852" t="s">
        <v>2247</v>
      </c>
      <c s="1852" t="s">
        <v>16</v>
      </c>
      <c s="1852" t="s">
        <v>3111</v>
      </c>
      <c s="1852" t="s">
        <v>3112</v>
      </c>
      <c s="1852" t="s">
        <v>3113</v>
      </c>
      <c s="1852" t="s">
        <v>2699</v>
      </c>
      <c s="1852" t="s">
        <v>3114</v>
      </c>
      <c s="1852" t="s">
        <v>22</v>
      </c>
      <c s="1852" t="s">
        <v>808</v>
      </c>
    </row>
    <row r="230" spans="1:9" ht="11.25" customHeight="1">
      <c r="A230" s="1852" t="s">
        <v>2247</v>
      </c>
      <c s="1852" t="s">
        <v>16</v>
      </c>
      <c s="1852" t="s">
        <v>3115</v>
      </c>
      <c s="1852" t="s">
        <v>3116</v>
      </c>
      <c s="1852" t="s">
        <v>3117</v>
      </c>
      <c s="1852" t="s">
        <v>2256</v>
      </c>
      <c s="1852" t="s">
        <v>22</v>
      </c>
      <c s="1852" t="s">
        <v>22</v>
      </c>
      <c s="1852" t="s">
        <v>808</v>
      </c>
    </row>
    <row r="231" spans="1:9" ht="11.25" customHeight="1">
      <c r="A231" s="1852" t="s">
        <v>2247</v>
      </c>
      <c s="1852" t="s">
        <v>16</v>
      </c>
      <c s="1852" t="s">
        <v>3118</v>
      </c>
      <c s="1852" t="s">
        <v>3119</v>
      </c>
      <c s="1852" t="s">
        <v>3120</v>
      </c>
      <c s="1852" t="s">
        <v>2259</v>
      </c>
      <c s="1852" t="s">
        <v>3121</v>
      </c>
      <c s="1852" t="s">
        <v>22</v>
      </c>
      <c s="1852" t="s">
        <v>808</v>
      </c>
    </row>
    <row r="232" spans="1:9" ht="11.25" customHeight="1">
      <c r="A232" s="1852" t="s">
        <v>2247</v>
      </c>
      <c s="1852" t="s">
        <v>16</v>
      </c>
      <c s="1852" t="s">
        <v>3122</v>
      </c>
      <c s="1852" t="s">
        <v>3123</v>
      </c>
      <c s="1852" t="s">
        <v>3124</v>
      </c>
      <c s="1852" t="s">
        <v>2277</v>
      </c>
      <c s="1852" t="s">
        <v>3125</v>
      </c>
      <c s="1852" t="s">
        <v>22</v>
      </c>
      <c s="1852" t="s">
        <v>808</v>
      </c>
    </row>
    <row r="233" spans="1:9" ht="11.25" customHeight="1">
      <c r="A233" s="1852" t="s">
        <v>2247</v>
      </c>
      <c s="1852" t="s">
        <v>16</v>
      </c>
      <c s="1852" t="s">
        <v>3126</v>
      </c>
      <c s="1852" t="s">
        <v>3127</v>
      </c>
      <c s="1852" t="s">
        <v>3128</v>
      </c>
      <c s="1852" t="s">
        <v>2636</v>
      </c>
      <c s="1852" t="s">
        <v>3129</v>
      </c>
      <c s="1852" t="s">
        <v>22</v>
      </c>
      <c s="1852" t="s">
        <v>808</v>
      </c>
    </row>
    <row r="234" spans="1:9" ht="11.25" customHeight="1">
      <c r="A234" s="1852" t="s">
        <v>2247</v>
      </c>
      <c s="1852" t="s">
        <v>16</v>
      </c>
      <c s="1852" t="s">
        <v>3130</v>
      </c>
      <c s="1852" t="s">
        <v>3131</v>
      </c>
      <c s="1852" t="s">
        <v>3132</v>
      </c>
      <c s="1852" t="s">
        <v>2256</v>
      </c>
      <c s="1852" t="s">
        <v>3133</v>
      </c>
      <c s="1852" t="s">
        <v>22</v>
      </c>
      <c s="1852" t="s">
        <v>808</v>
      </c>
    </row>
    <row r="235" spans="1:9" ht="11.25" customHeight="1">
      <c r="A235" s="1852" t="s">
        <v>2247</v>
      </c>
      <c s="1852" t="s">
        <v>16</v>
      </c>
      <c s="1852" t="s">
        <v>3134</v>
      </c>
      <c s="1852" t="s">
        <v>3135</v>
      </c>
      <c s="1852" t="s">
        <v>3136</v>
      </c>
      <c s="1852" t="s">
        <v>51</v>
      </c>
      <c s="1852" t="s">
        <v>3137</v>
      </c>
      <c s="1852" t="s">
        <v>22</v>
      </c>
      <c s="1852" t="s">
        <v>808</v>
      </c>
    </row>
    <row r="236" spans="1:9" ht="11.25" customHeight="1">
      <c r="A236" s="1852" t="s">
        <v>2247</v>
      </c>
      <c s="1852" t="s">
        <v>16</v>
      </c>
      <c s="1852" t="s">
        <v>3138</v>
      </c>
      <c s="1852" t="s">
        <v>3139</v>
      </c>
      <c s="1852" t="s">
        <v>3140</v>
      </c>
      <c s="1852" t="s">
        <v>2272</v>
      </c>
      <c s="1852" t="s">
        <v>3141</v>
      </c>
      <c s="1852" t="s">
        <v>22</v>
      </c>
      <c s="1852" t="s">
        <v>808</v>
      </c>
    </row>
    <row r="237" spans="1:9" ht="11.25" customHeight="1">
      <c r="A237" s="1852" t="s">
        <v>2247</v>
      </c>
      <c s="1852" t="s">
        <v>16</v>
      </c>
      <c s="1852" t="s">
        <v>3142</v>
      </c>
      <c s="1852" t="s">
        <v>3143</v>
      </c>
      <c s="1852" t="s">
        <v>3144</v>
      </c>
      <c s="1852" t="s">
        <v>2256</v>
      </c>
      <c s="1852" t="s">
        <v>3145</v>
      </c>
      <c s="1852" t="s">
        <v>22</v>
      </c>
      <c s="1852" t="s">
        <v>808</v>
      </c>
    </row>
    <row r="238" spans="1:9" ht="11.25" customHeight="1">
      <c r="A238" s="1852" t="s">
        <v>2247</v>
      </c>
      <c s="1852" t="s">
        <v>16</v>
      </c>
      <c s="1852" t="s">
        <v>3146</v>
      </c>
      <c s="1852" t="s">
        <v>3143</v>
      </c>
      <c s="1852" t="s">
        <v>3147</v>
      </c>
      <c s="1852" t="s">
        <v>3148</v>
      </c>
      <c s="1852" t="s">
        <v>3149</v>
      </c>
      <c s="1852" t="s">
        <v>22</v>
      </c>
      <c s="1852" t="s">
        <v>808</v>
      </c>
    </row>
    <row r="239" spans="1:9" ht="11.25" customHeight="1">
      <c r="A239" s="1852" t="s">
        <v>2247</v>
      </c>
      <c s="1852" t="s">
        <v>16</v>
      </c>
      <c s="1852" t="s">
        <v>3150</v>
      </c>
      <c s="1852" t="s">
        <v>3151</v>
      </c>
      <c s="1852" t="s">
        <v>3152</v>
      </c>
      <c s="1852" t="s">
        <v>2272</v>
      </c>
      <c s="1852" t="s">
        <v>3153</v>
      </c>
      <c s="1852" t="s">
        <v>22</v>
      </c>
      <c s="1852" t="s">
        <v>808</v>
      </c>
    </row>
    <row r="240" spans="1:9" ht="11.25" customHeight="1">
      <c r="A240" s="1852" t="s">
        <v>2247</v>
      </c>
      <c s="1852" t="s">
        <v>16</v>
      </c>
      <c s="1852" t="s">
        <v>3154</v>
      </c>
      <c s="1852" t="s">
        <v>3155</v>
      </c>
      <c s="1852" t="s">
        <v>3156</v>
      </c>
      <c s="1852" t="s">
        <v>2411</v>
      </c>
      <c s="1852" t="s">
        <v>3157</v>
      </c>
      <c s="1852" t="s">
        <v>22</v>
      </c>
      <c s="1852" t="s">
        <v>808</v>
      </c>
    </row>
    <row r="241" spans="1:9" ht="11.25" customHeight="1">
      <c r="A241" s="1852" t="s">
        <v>2247</v>
      </c>
      <c s="1852" t="s">
        <v>16</v>
      </c>
      <c s="1852" t="s">
        <v>3158</v>
      </c>
      <c s="1852" t="s">
        <v>3159</v>
      </c>
      <c s="1852" t="s">
        <v>3160</v>
      </c>
      <c s="1852" t="s">
        <v>2411</v>
      </c>
      <c s="1852" t="s">
        <v>3161</v>
      </c>
      <c s="1852" t="s">
        <v>3162</v>
      </c>
      <c s="1852" t="s">
        <v>808</v>
      </c>
    </row>
    <row r="242" spans="1:9" ht="11.25" customHeight="1">
      <c r="A242" s="1852" t="s">
        <v>2247</v>
      </c>
      <c s="1852" t="s">
        <v>16</v>
      </c>
      <c s="1852" t="s">
        <v>3163</v>
      </c>
      <c s="1852" t="s">
        <v>3159</v>
      </c>
      <c s="1852" t="s">
        <v>3164</v>
      </c>
      <c s="1852" t="s">
        <v>2256</v>
      </c>
      <c s="1852" t="s">
        <v>3165</v>
      </c>
      <c s="1852" t="s">
        <v>22</v>
      </c>
      <c s="1852" t="s">
        <v>808</v>
      </c>
    </row>
    <row r="243" spans="1:9" ht="11.25" customHeight="1">
      <c r="A243" s="1852" t="s">
        <v>2247</v>
      </c>
      <c s="1852" t="s">
        <v>16</v>
      </c>
      <c s="1852" t="s">
        <v>3166</v>
      </c>
      <c s="1852" t="s">
        <v>3167</v>
      </c>
      <c s="1852" t="s">
        <v>3168</v>
      </c>
      <c s="1852" t="s">
        <v>2347</v>
      </c>
      <c s="1852" t="s">
        <v>3169</v>
      </c>
      <c s="1852" t="s">
        <v>22</v>
      </c>
      <c s="1852" t="s">
        <v>808</v>
      </c>
    </row>
    <row r="244" spans="1:9" ht="11.25" customHeight="1">
      <c r="A244" s="1852" t="s">
        <v>2247</v>
      </c>
      <c s="1852" t="s">
        <v>16</v>
      </c>
      <c s="1852" t="s">
        <v>3170</v>
      </c>
      <c s="1852" t="s">
        <v>3171</v>
      </c>
      <c s="1852" t="s">
        <v>3172</v>
      </c>
      <c s="1852" t="s">
        <v>2259</v>
      </c>
      <c s="1852" t="s">
        <v>22</v>
      </c>
      <c s="1852" t="s">
        <v>22</v>
      </c>
      <c s="1852" t="s">
        <v>808</v>
      </c>
    </row>
    <row r="245" spans="1:9" ht="11.25" customHeight="1">
      <c r="A245" s="1852" t="s">
        <v>2247</v>
      </c>
      <c s="1852" t="s">
        <v>16</v>
      </c>
      <c s="1852" t="s">
        <v>3173</v>
      </c>
      <c s="1852" t="s">
        <v>3174</v>
      </c>
      <c s="1852" t="s">
        <v>3175</v>
      </c>
      <c s="1852" t="s">
        <v>3176</v>
      </c>
      <c s="1852" t="s">
        <v>22</v>
      </c>
      <c s="1852" t="s">
        <v>22</v>
      </c>
      <c s="1852" t="s">
        <v>808</v>
      </c>
    </row>
    <row r="246" spans="1:9" ht="11.25" customHeight="1">
      <c r="A246" s="1852" t="s">
        <v>2247</v>
      </c>
      <c s="1852" t="s">
        <v>16</v>
      </c>
      <c s="1852" t="s">
        <v>3177</v>
      </c>
      <c s="1852" t="s">
        <v>3178</v>
      </c>
      <c s="1852" t="s">
        <v>3179</v>
      </c>
      <c s="1852" t="s">
        <v>2272</v>
      </c>
      <c s="1852" t="s">
        <v>3180</v>
      </c>
      <c s="1852" t="s">
        <v>22</v>
      </c>
      <c s="1852" t="s">
        <v>808</v>
      </c>
    </row>
    <row r="247" spans="1:9" ht="11.25" customHeight="1">
      <c r="A247" s="1852" t="s">
        <v>2247</v>
      </c>
      <c s="1852" t="s">
        <v>16</v>
      </c>
      <c s="1852" t="s">
        <v>3181</v>
      </c>
      <c s="1852" t="s">
        <v>3182</v>
      </c>
      <c s="1852" t="s">
        <v>3183</v>
      </c>
      <c s="1852" t="s">
        <v>2272</v>
      </c>
      <c s="1852" t="s">
        <v>3153</v>
      </c>
      <c s="1852" t="s">
        <v>22</v>
      </c>
      <c s="1852" t="s">
        <v>808</v>
      </c>
    </row>
    <row r="248" spans="1:9" ht="11.25" customHeight="1">
      <c r="A248" s="1852" t="s">
        <v>2247</v>
      </c>
      <c s="1852" t="s">
        <v>16</v>
      </c>
      <c s="1852" t="s">
        <v>3184</v>
      </c>
      <c s="1852" t="s">
        <v>3185</v>
      </c>
      <c s="1852" t="s">
        <v>3186</v>
      </c>
      <c s="1852" t="s">
        <v>2277</v>
      </c>
      <c s="1852" t="s">
        <v>3187</v>
      </c>
      <c s="1852" t="s">
        <v>22</v>
      </c>
      <c s="1852" t="s">
        <v>808</v>
      </c>
    </row>
    <row r="249" spans="1:9" ht="11.25" customHeight="1">
      <c r="A249" s="1852" t="s">
        <v>2247</v>
      </c>
      <c s="1852" t="s">
        <v>16</v>
      </c>
      <c s="1852" t="s">
        <v>3188</v>
      </c>
      <c s="1852" t="s">
        <v>3189</v>
      </c>
      <c s="1852" t="s">
        <v>3190</v>
      </c>
      <c s="1852" t="s">
        <v>2277</v>
      </c>
      <c s="1852" t="s">
        <v>22</v>
      </c>
      <c s="1852" t="s">
        <v>22</v>
      </c>
      <c s="1852" t="s">
        <v>808</v>
      </c>
    </row>
    <row r="250" spans="1:9" ht="11.25" customHeight="1">
      <c r="A250" s="1852" t="s">
        <v>2247</v>
      </c>
      <c s="1852" t="s">
        <v>16</v>
      </c>
      <c s="1852" t="s">
        <v>3191</v>
      </c>
      <c s="1852" t="s">
        <v>3192</v>
      </c>
      <c s="1852" t="s">
        <v>3193</v>
      </c>
      <c s="1852" t="s">
        <v>3194</v>
      </c>
      <c s="1852" t="s">
        <v>22</v>
      </c>
      <c s="1852" t="s">
        <v>22</v>
      </c>
      <c s="1852" t="s">
        <v>808</v>
      </c>
    </row>
    <row r="251" spans="1:9" ht="11.25" customHeight="1">
      <c r="A251" s="1852" t="s">
        <v>2247</v>
      </c>
      <c s="1852" t="s">
        <v>16</v>
      </c>
      <c s="1852" t="s">
        <v>3195</v>
      </c>
      <c s="1852" t="s">
        <v>3196</v>
      </c>
      <c s="1852" t="s">
        <v>3197</v>
      </c>
      <c s="1852" t="s">
        <v>51</v>
      </c>
      <c s="1852" t="s">
        <v>3198</v>
      </c>
      <c s="1852" t="s">
        <v>22</v>
      </c>
      <c s="1852" t="s">
        <v>808</v>
      </c>
    </row>
    <row r="252" spans="1:9" ht="11.25" customHeight="1">
      <c r="A252" s="1852" t="s">
        <v>2247</v>
      </c>
      <c s="1852" t="s">
        <v>16</v>
      </c>
      <c s="1852" t="s">
        <v>3199</v>
      </c>
      <c s="1852" t="s">
        <v>3200</v>
      </c>
      <c s="1852" t="s">
        <v>3201</v>
      </c>
      <c s="1852" t="s">
        <v>2411</v>
      </c>
      <c s="1852" t="s">
        <v>3202</v>
      </c>
      <c s="1852" t="s">
        <v>22</v>
      </c>
      <c s="1852" t="s">
        <v>808</v>
      </c>
    </row>
    <row r="253" spans="1:9" ht="11.25" customHeight="1">
      <c r="A253" s="1852" t="s">
        <v>2247</v>
      </c>
      <c s="1852" t="s">
        <v>16</v>
      </c>
      <c s="1852" t="s">
        <v>3203</v>
      </c>
      <c s="1852" t="s">
        <v>3204</v>
      </c>
      <c s="1852" t="s">
        <v>3205</v>
      </c>
      <c s="1852" t="s">
        <v>51</v>
      </c>
      <c s="1852" t="s">
        <v>3206</v>
      </c>
      <c s="1852" t="s">
        <v>22</v>
      </c>
      <c s="1852" t="s">
        <v>808</v>
      </c>
    </row>
    <row r="254" spans="1:9" ht="11.25" customHeight="1">
      <c r="A254" s="1852" t="s">
        <v>2247</v>
      </c>
      <c s="1852" t="s">
        <v>16</v>
      </c>
      <c s="1852" t="s">
        <v>3207</v>
      </c>
      <c s="1852" t="s">
        <v>3208</v>
      </c>
      <c s="1852" t="s">
        <v>3209</v>
      </c>
      <c s="1852" t="s">
        <v>3210</v>
      </c>
      <c s="1852" t="s">
        <v>22</v>
      </c>
      <c s="1852" t="s">
        <v>22</v>
      </c>
      <c s="1852" t="s">
        <v>808</v>
      </c>
    </row>
    <row r="255" spans="1:9" ht="11.25" customHeight="1">
      <c r="A255" s="1852" t="s">
        <v>2247</v>
      </c>
      <c s="1852" t="s">
        <v>16</v>
      </c>
      <c s="1852" t="s">
        <v>3211</v>
      </c>
      <c s="1852" t="s">
        <v>3212</v>
      </c>
      <c s="1852" t="s">
        <v>3213</v>
      </c>
      <c s="1852" t="s">
        <v>2347</v>
      </c>
      <c s="1852" t="s">
        <v>22</v>
      </c>
      <c s="1852" t="s">
        <v>22</v>
      </c>
      <c s="1852" t="s">
        <v>808</v>
      </c>
    </row>
    <row r="256" spans="1:9" ht="11.25" customHeight="1">
      <c r="A256" s="1852" t="s">
        <v>2247</v>
      </c>
      <c s="1852" t="s">
        <v>16</v>
      </c>
      <c s="1852" t="s">
        <v>3214</v>
      </c>
      <c s="1852" t="s">
        <v>3215</v>
      </c>
      <c s="1852" t="s">
        <v>3216</v>
      </c>
      <c s="1852" t="s">
        <v>2347</v>
      </c>
      <c s="1852" t="s">
        <v>3217</v>
      </c>
      <c s="1852" t="s">
        <v>22</v>
      </c>
      <c s="1852" t="s">
        <v>808</v>
      </c>
    </row>
    <row r="257" spans="1:9" ht="11.25" customHeight="1">
      <c r="A257" s="1852" t="s">
        <v>2247</v>
      </c>
      <c s="1852" t="s">
        <v>16</v>
      </c>
      <c s="1852" t="s">
        <v>3218</v>
      </c>
      <c s="1852" t="s">
        <v>3219</v>
      </c>
      <c s="1852" t="s">
        <v>3220</v>
      </c>
      <c s="1852" t="s">
        <v>3221</v>
      </c>
      <c s="1852" t="s">
        <v>3222</v>
      </c>
      <c s="1852" t="s">
        <v>22</v>
      </c>
      <c s="1852" t="s">
        <v>808</v>
      </c>
    </row>
    <row r="258" spans="1:9" ht="11.25" customHeight="1">
      <c r="A258" s="1852" t="s">
        <v>2247</v>
      </c>
      <c s="1852" t="s">
        <v>16</v>
      </c>
      <c s="1852" t="s">
        <v>3223</v>
      </c>
      <c s="1852" t="s">
        <v>3224</v>
      </c>
      <c s="1852" t="s">
        <v>3225</v>
      </c>
      <c s="1852" t="s">
        <v>2272</v>
      </c>
      <c s="1852" t="s">
        <v>3226</v>
      </c>
      <c s="1852" t="s">
        <v>22</v>
      </c>
      <c s="1852" t="s">
        <v>808</v>
      </c>
    </row>
    <row r="259" spans="1:9" ht="11.25" customHeight="1">
      <c r="A259" s="1852" t="s">
        <v>2247</v>
      </c>
      <c s="1852" t="s">
        <v>16</v>
      </c>
      <c s="1852" t="s">
        <v>3227</v>
      </c>
      <c s="1852" t="s">
        <v>3228</v>
      </c>
      <c s="1852" t="s">
        <v>3229</v>
      </c>
      <c s="1852" t="s">
        <v>2272</v>
      </c>
      <c s="1852" t="s">
        <v>3230</v>
      </c>
      <c s="1852" t="s">
        <v>22</v>
      </c>
      <c s="1852" t="s">
        <v>808</v>
      </c>
    </row>
    <row r="260" spans="1:9" ht="11.25" customHeight="1">
      <c r="A260" s="1852" t="s">
        <v>2247</v>
      </c>
      <c s="1852" t="s">
        <v>16</v>
      </c>
      <c s="1852" t="s">
        <v>3231</v>
      </c>
      <c s="1852" t="s">
        <v>3232</v>
      </c>
      <c s="1852" t="s">
        <v>3233</v>
      </c>
      <c s="1852" t="s">
        <v>2636</v>
      </c>
      <c s="1852" t="s">
        <v>22</v>
      </c>
      <c s="1852" t="s">
        <v>22</v>
      </c>
      <c s="1852" t="s">
        <v>808</v>
      </c>
    </row>
    <row r="261" spans="1:9" ht="11.25" customHeight="1">
      <c r="A261" s="1852" t="s">
        <v>2247</v>
      </c>
      <c s="1852" t="s">
        <v>16</v>
      </c>
      <c s="1852" t="s">
        <v>3234</v>
      </c>
      <c s="1852" t="s">
        <v>3235</v>
      </c>
      <c s="1852" t="s">
        <v>3236</v>
      </c>
      <c s="1852" t="s">
        <v>2411</v>
      </c>
      <c s="1852" t="s">
        <v>3237</v>
      </c>
      <c s="1852" t="s">
        <v>22</v>
      </c>
      <c s="1852" t="s">
        <v>808</v>
      </c>
    </row>
    <row r="262" spans="1:9" ht="11.25" customHeight="1">
      <c r="A262" s="1852" t="s">
        <v>2247</v>
      </c>
      <c s="1852" t="s">
        <v>16</v>
      </c>
      <c s="1852" t="s">
        <v>3238</v>
      </c>
      <c s="1852" t="s">
        <v>3239</v>
      </c>
      <c s="1852" t="s">
        <v>3240</v>
      </c>
      <c s="1852" t="s">
        <v>3241</v>
      </c>
      <c s="1852" t="s">
        <v>3242</v>
      </c>
      <c s="1852" t="s">
        <v>22</v>
      </c>
      <c s="1852" t="s">
        <v>808</v>
      </c>
    </row>
    <row r="263" spans="1:9" ht="11.25" customHeight="1">
      <c r="A263" s="1852" t="s">
        <v>2247</v>
      </c>
      <c s="1852" t="s">
        <v>16</v>
      </c>
      <c s="1852" t="s">
        <v>3243</v>
      </c>
      <c s="1852" t="s">
        <v>3244</v>
      </c>
      <c s="1852" t="s">
        <v>3245</v>
      </c>
      <c s="1852" t="s">
        <v>2265</v>
      </c>
      <c s="1852" t="s">
        <v>3246</v>
      </c>
      <c s="1852" t="s">
        <v>22</v>
      </c>
      <c s="1852" t="s">
        <v>808</v>
      </c>
    </row>
    <row r="264" spans="1:9" ht="11.25" customHeight="1">
      <c r="A264" s="1852" t="s">
        <v>2247</v>
      </c>
      <c s="1852" t="s">
        <v>16</v>
      </c>
      <c s="1852" t="s">
        <v>3247</v>
      </c>
      <c s="1852" t="s">
        <v>3248</v>
      </c>
      <c s="1852" t="s">
        <v>3249</v>
      </c>
      <c s="1852" t="s">
        <v>2277</v>
      </c>
      <c s="1852" t="s">
        <v>3250</v>
      </c>
      <c s="1852" t="s">
        <v>22</v>
      </c>
      <c s="1852" t="s">
        <v>808</v>
      </c>
    </row>
    <row r="265" spans="1:9" ht="11.25" customHeight="1">
      <c r="A265" s="1852" t="s">
        <v>2247</v>
      </c>
      <c s="1852" t="s">
        <v>16</v>
      </c>
      <c s="1852" t="s">
        <v>3251</v>
      </c>
      <c s="1852" t="s">
        <v>3252</v>
      </c>
      <c s="1852" t="s">
        <v>3253</v>
      </c>
      <c s="1852" t="s">
        <v>51</v>
      </c>
      <c s="1852" t="s">
        <v>3254</v>
      </c>
      <c s="1852" t="s">
        <v>22</v>
      </c>
      <c s="1852" t="s">
        <v>808</v>
      </c>
    </row>
    <row r="266" spans="1:9" ht="11.25" customHeight="1">
      <c r="A266" s="1852" t="s">
        <v>2247</v>
      </c>
      <c s="1852" t="s">
        <v>16</v>
      </c>
      <c s="1852" t="s">
        <v>3255</v>
      </c>
      <c s="1852" t="s">
        <v>3256</v>
      </c>
      <c s="1852" t="s">
        <v>3257</v>
      </c>
      <c s="1852" t="s">
        <v>2366</v>
      </c>
      <c s="1852" t="s">
        <v>22</v>
      </c>
      <c s="1852" t="s">
        <v>22</v>
      </c>
      <c s="1852" t="s">
        <v>808</v>
      </c>
    </row>
    <row r="267" spans="1:9" ht="11.25" customHeight="1">
      <c r="A267" s="1852" t="s">
        <v>2247</v>
      </c>
      <c s="1852" t="s">
        <v>16</v>
      </c>
      <c s="1852" t="s">
        <v>3258</v>
      </c>
      <c s="1852" t="s">
        <v>3259</v>
      </c>
      <c s="1852" t="s">
        <v>3260</v>
      </c>
      <c s="1852" t="s">
        <v>2411</v>
      </c>
      <c s="1852" t="s">
        <v>3261</v>
      </c>
      <c s="1852" t="s">
        <v>22</v>
      </c>
      <c s="1852" t="s">
        <v>808</v>
      </c>
    </row>
    <row r="268" spans="1:9" ht="11.25" customHeight="1">
      <c r="A268" s="1852" t="s">
        <v>2247</v>
      </c>
      <c s="1852" t="s">
        <v>16</v>
      </c>
      <c s="1852" t="s">
        <v>3262</v>
      </c>
      <c s="1852" t="s">
        <v>3263</v>
      </c>
      <c s="1852" t="s">
        <v>3264</v>
      </c>
      <c s="1852" t="s">
        <v>2380</v>
      </c>
      <c s="1852" t="s">
        <v>22</v>
      </c>
      <c s="1852" t="s">
        <v>22</v>
      </c>
      <c s="1852" t="s">
        <v>808</v>
      </c>
    </row>
    <row r="269" spans="1:9" ht="11.25" customHeight="1">
      <c r="A269" s="1852" t="s">
        <v>2247</v>
      </c>
      <c s="1852" t="s">
        <v>16</v>
      </c>
      <c s="1852" t="s">
        <v>3265</v>
      </c>
      <c s="1852" t="s">
        <v>3266</v>
      </c>
      <c s="1852" t="s">
        <v>3267</v>
      </c>
      <c s="1852" t="s">
        <v>51</v>
      </c>
      <c s="1852" t="s">
        <v>3268</v>
      </c>
      <c s="1852" t="s">
        <v>22</v>
      </c>
      <c s="1852" t="s">
        <v>808</v>
      </c>
    </row>
    <row r="270" spans="1:9" ht="11.25" customHeight="1">
      <c r="A270" s="1852" t="s">
        <v>2247</v>
      </c>
      <c s="1852" t="s">
        <v>16</v>
      </c>
      <c s="1852" t="s">
        <v>3269</v>
      </c>
      <c s="1852" t="s">
        <v>3270</v>
      </c>
      <c s="1852" t="s">
        <v>3271</v>
      </c>
      <c s="1852" t="s">
        <v>3272</v>
      </c>
      <c s="1852" t="s">
        <v>3273</v>
      </c>
      <c s="1852" t="s">
        <v>22</v>
      </c>
      <c s="1852" t="s">
        <v>808</v>
      </c>
    </row>
    <row r="271" spans="1:9" ht="11.25" customHeight="1">
      <c r="A271" s="1852" t="s">
        <v>2247</v>
      </c>
      <c s="1852" t="s">
        <v>16</v>
      </c>
      <c s="1852" t="s">
        <v>3274</v>
      </c>
      <c s="1852" t="s">
        <v>3275</v>
      </c>
      <c s="1852" t="s">
        <v>3276</v>
      </c>
      <c s="1852" t="s">
        <v>2347</v>
      </c>
      <c s="1852" t="s">
        <v>22</v>
      </c>
      <c s="1852" t="s">
        <v>22</v>
      </c>
      <c s="1852" t="s">
        <v>808</v>
      </c>
    </row>
    <row r="272" spans="1:9" ht="11.25" customHeight="1">
      <c r="A272" s="1852" t="s">
        <v>2247</v>
      </c>
      <c s="1852" t="s">
        <v>16</v>
      </c>
      <c s="1852" t="s">
        <v>3277</v>
      </c>
      <c s="1852" t="s">
        <v>3278</v>
      </c>
      <c s="1852" t="s">
        <v>3279</v>
      </c>
      <c s="1852" t="s">
        <v>2259</v>
      </c>
      <c s="1852" t="s">
        <v>3280</v>
      </c>
      <c s="1852" t="s">
        <v>22</v>
      </c>
      <c s="1852" t="s">
        <v>808</v>
      </c>
    </row>
    <row r="273" spans="1:9" ht="11.25" customHeight="1">
      <c r="A273" s="1852" t="s">
        <v>2247</v>
      </c>
      <c s="1852" t="s">
        <v>16</v>
      </c>
      <c s="1852" t="s">
        <v>3281</v>
      </c>
      <c s="1852" t="s">
        <v>3282</v>
      </c>
      <c s="1852" t="s">
        <v>3283</v>
      </c>
      <c s="1852" t="s">
        <v>2380</v>
      </c>
      <c s="1852" t="s">
        <v>22</v>
      </c>
      <c s="1852" t="s">
        <v>22</v>
      </c>
      <c s="1852" t="s">
        <v>808</v>
      </c>
    </row>
    <row r="274" spans="1:9" ht="11.25" customHeight="1">
      <c r="A274" s="1852" t="s">
        <v>2247</v>
      </c>
      <c s="1852" t="s">
        <v>16</v>
      </c>
      <c s="1852" t="s">
        <v>3284</v>
      </c>
      <c s="1852" t="s">
        <v>3285</v>
      </c>
      <c s="1852" t="s">
        <v>3286</v>
      </c>
      <c s="1852" t="s">
        <v>51</v>
      </c>
      <c s="1852" t="s">
        <v>3287</v>
      </c>
      <c s="1852" t="s">
        <v>22</v>
      </c>
      <c s="1852" t="s">
        <v>808</v>
      </c>
    </row>
    <row r="275" spans="1:9" ht="11.25" customHeight="1">
      <c r="A275" s="1852" t="s">
        <v>2247</v>
      </c>
      <c s="1852" t="s">
        <v>16</v>
      </c>
      <c s="1852" t="s">
        <v>3288</v>
      </c>
      <c s="1852" t="s">
        <v>3289</v>
      </c>
      <c s="1852" t="s">
        <v>3290</v>
      </c>
      <c s="1852" t="s">
        <v>2272</v>
      </c>
      <c s="1852" t="s">
        <v>22</v>
      </c>
      <c s="1852" t="s">
        <v>22</v>
      </c>
      <c s="1852" t="s">
        <v>808</v>
      </c>
    </row>
    <row r="276" spans="1:9" ht="11.25" customHeight="1">
      <c r="A276" s="1852" t="s">
        <v>2247</v>
      </c>
      <c s="1852" t="s">
        <v>16</v>
      </c>
      <c s="1852" t="s">
        <v>3291</v>
      </c>
      <c s="1852" t="s">
        <v>3292</v>
      </c>
      <c s="1852" t="s">
        <v>3293</v>
      </c>
      <c s="1852" t="s">
        <v>2411</v>
      </c>
      <c s="1852" t="s">
        <v>3294</v>
      </c>
      <c s="1852" t="s">
        <v>22</v>
      </c>
      <c s="1852" t="s">
        <v>808</v>
      </c>
    </row>
    <row r="277" spans="1:9" ht="11.25" customHeight="1">
      <c r="A277" s="1852" t="s">
        <v>2247</v>
      </c>
      <c s="1852" t="s">
        <v>16</v>
      </c>
      <c s="1852" t="s">
        <v>3295</v>
      </c>
      <c s="1852" t="s">
        <v>3296</v>
      </c>
      <c s="1852" t="s">
        <v>3297</v>
      </c>
      <c s="1852" t="s">
        <v>2411</v>
      </c>
      <c s="1852" t="s">
        <v>3298</v>
      </c>
      <c s="1852" t="s">
        <v>22</v>
      </c>
      <c s="1852" t="s">
        <v>808</v>
      </c>
    </row>
    <row r="278" spans="1:9" ht="11.25" customHeight="1">
      <c r="A278" s="1852" t="s">
        <v>2247</v>
      </c>
      <c s="1852" t="s">
        <v>16</v>
      </c>
      <c s="1852" t="s">
        <v>3299</v>
      </c>
      <c s="1852" t="s">
        <v>3296</v>
      </c>
      <c s="1852" t="s">
        <v>3300</v>
      </c>
      <c s="1852" t="s">
        <v>2411</v>
      </c>
      <c s="1852" t="s">
        <v>3301</v>
      </c>
      <c s="1852" t="s">
        <v>22</v>
      </c>
      <c s="1852" t="s">
        <v>808</v>
      </c>
    </row>
    <row r="279" spans="1:9" ht="11.25" customHeight="1">
      <c r="A279" s="1852" t="s">
        <v>2247</v>
      </c>
      <c s="1852" t="s">
        <v>16</v>
      </c>
      <c s="1852" t="s">
        <v>3302</v>
      </c>
      <c s="1852" t="s">
        <v>3303</v>
      </c>
      <c s="1852" t="s">
        <v>3304</v>
      </c>
      <c s="1852" t="s">
        <v>51</v>
      </c>
      <c s="1852" t="s">
        <v>3305</v>
      </c>
      <c s="1852" t="s">
        <v>22</v>
      </c>
      <c s="1852" t="s">
        <v>808</v>
      </c>
    </row>
    <row r="280" spans="1:9" ht="11.25" customHeight="1">
      <c r="A280" s="1852" t="s">
        <v>2247</v>
      </c>
      <c s="1852" t="s">
        <v>16</v>
      </c>
      <c s="1852" t="s">
        <v>3306</v>
      </c>
      <c s="1852" t="s">
        <v>3307</v>
      </c>
      <c s="1852" t="s">
        <v>3308</v>
      </c>
      <c s="1852" t="s">
        <v>2659</v>
      </c>
      <c s="1852" t="s">
        <v>22</v>
      </c>
      <c s="1852" t="s">
        <v>22</v>
      </c>
      <c s="1852" t="s">
        <v>808</v>
      </c>
    </row>
    <row r="281" spans="1:9" ht="11.25" customHeight="1">
      <c r="A281" s="1852" t="s">
        <v>2247</v>
      </c>
      <c s="1852" t="s">
        <v>16</v>
      </c>
      <c s="1852" t="s">
        <v>3309</v>
      </c>
      <c s="1852" t="s">
        <v>3310</v>
      </c>
      <c s="1852" t="s">
        <v>3311</v>
      </c>
      <c s="1852" t="s">
        <v>2272</v>
      </c>
      <c s="1852" t="s">
        <v>3312</v>
      </c>
      <c s="1852" t="s">
        <v>22</v>
      </c>
      <c s="1852" t="s">
        <v>808</v>
      </c>
    </row>
    <row r="282" spans="1:9" ht="11.25" customHeight="1">
      <c r="A282" s="1852" t="s">
        <v>2247</v>
      </c>
      <c s="1852" t="s">
        <v>16</v>
      </c>
      <c s="1852" t="s">
        <v>3313</v>
      </c>
      <c s="1852" t="s">
        <v>3314</v>
      </c>
      <c s="1852" t="s">
        <v>3315</v>
      </c>
      <c s="1852" t="s">
        <v>2272</v>
      </c>
      <c s="1852" t="s">
        <v>3316</v>
      </c>
      <c s="1852" t="s">
        <v>22</v>
      </c>
      <c s="1852" t="s">
        <v>808</v>
      </c>
    </row>
    <row r="283" spans="1:9" ht="11.25" customHeight="1">
      <c r="A283" s="1852" t="s">
        <v>2247</v>
      </c>
      <c s="1852" t="s">
        <v>16</v>
      </c>
      <c s="1852" t="s">
        <v>3317</v>
      </c>
      <c s="1852" t="s">
        <v>3318</v>
      </c>
      <c s="1852" t="s">
        <v>3319</v>
      </c>
      <c s="1852" t="s">
        <v>2272</v>
      </c>
      <c s="1852" t="s">
        <v>3320</v>
      </c>
      <c s="1852" t="s">
        <v>22</v>
      </c>
      <c s="1852" t="s">
        <v>808</v>
      </c>
    </row>
    <row r="284" spans="1:9" ht="11.25" customHeight="1">
      <c r="A284" s="1852" t="s">
        <v>2247</v>
      </c>
      <c s="1852" t="s">
        <v>16</v>
      </c>
      <c s="1852" t="s">
        <v>3321</v>
      </c>
      <c s="1852" t="s">
        <v>3322</v>
      </c>
      <c s="1852" t="s">
        <v>3323</v>
      </c>
      <c s="1852" t="s">
        <v>51</v>
      </c>
      <c s="1852" t="s">
        <v>22</v>
      </c>
      <c s="1852" t="s">
        <v>22</v>
      </c>
      <c s="1852" t="s">
        <v>808</v>
      </c>
    </row>
    <row r="285" spans="1:9" ht="11.25" customHeight="1">
      <c r="A285" s="1852" t="s">
        <v>2247</v>
      </c>
      <c s="1852" t="s">
        <v>16</v>
      </c>
      <c s="1852" t="s">
        <v>3324</v>
      </c>
      <c s="1852" t="s">
        <v>3325</v>
      </c>
      <c s="1852" t="s">
        <v>3326</v>
      </c>
      <c s="1852" t="s">
        <v>2286</v>
      </c>
      <c s="1852" t="s">
        <v>22</v>
      </c>
      <c s="1852" t="s">
        <v>22</v>
      </c>
      <c s="1852" t="s">
        <v>808</v>
      </c>
    </row>
    <row r="286" spans="1:9" ht="11.25" customHeight="1">
      <c r="A286" s="1852" t="s">
        <v>2247</v>
      </c>
      <c s="1852" t="s">
        <v>16</v>
      </c>
      <c s="1852" t="s">
        <v>3327</v>
      </c>
      <c s="1852" t="s">
        <v>3328</v>
      </c>
      <c s="1852" t="s">
        <v>3329</v>
      </c>
      <c s="1852" t="s">
        <v>51</v>
      </c>
      <c s="1852" t="s">
        <v>3330</v>
      </c>
      <c s="1852" t="s">
        <v>22</v>
      </c>
      <c s="1852" t="s">
        <v>808</v>
      </c>
    </row>
    <row r="287" spans="1:9" ht="11.25" customHeight="1">
      <c r="A287" s="1852" t="s">
        <v>2247</v>
      </c>
      <c s="1852" t="s">
        <v>16</v>
      </c>
      <c s="1852" t="s">
        <v>3331</v>
      </c>
      <c s="1852" t="s">
        <v>3332</v>
      </c>
      <c s="1852" t="s">
        <v>3333</v>
      </c>
      <c s="1852" t="s">
        <v>2277</v>
      </c>
      <c s="1852" t="s">
        <v>3334</v>
      </c>
      <c s="1852" t="s">
        <v>22</v>
      </c>
      <c s="1852" t="s">
        <v>808</v>
      </c>
    </row>
    <row r="288" spans="1:9" ht="11.25" customHeight="1">
      <c r="A288" s="1852" t="s">
        <v>2247</v>
      </c>
      <c s="1852" t="s">
        <v>16</v>
      </c>
      <c s="1852" t="s">
        <v>3335</v>
      </c>
      <c s="1852" t="s">
        <v>3336</v>
      </c>
      <c s="1852" t="s">
        <v>3337</v>
      </c>
      <c s="1852" t="s">
        <v>2357</v>
      </c>
      <c s="1852" t="s">
        <v>22</v>
      </c>
      <c s="1852" t="s">
        <v>22</v>
      </c>
      <c s="1852" t="s">
        <v>808</v>
      </c>
    </row>
    <row r="289" spans="1:9" ht="11.25" customHeight="1">
      <c r="A289" s="1852" t="s">
        <v>2247</v>
      </c>
      <c s="1852" t="s">
        <v>16</v>
      </c>
      <c s="1852" t="s">
        <v>3338</v>
      </c>
      <c s="1852" t="s">
        <v>3339</v>
      </c>
      <c s="1852" t="s">
        <v>3340</v>
      </c>
      <c s="1852" t="s">
        <v>2262</v>
      </c>
      <c s="1852" t="s">
        <v>22</v>
      </c>
      <c s="1852" t="s">
        <v>22</v>
      </c>
      <c s="1852" t="s">
        <v>808</v>
      </c>
    </row>
    <row r="290" spans="1:9" ht="11.25" customHeight="1">
      <c r="A290" s="1852" t="s">
        <v>2247</v>
      </c>
      <c s="1852" t="s">
        <v>16</v>
      </c>
      <c s="1852" t="s">
        <v>3341</v>
      </c>
      <c s="1852" t="s">
        <v>3342</v>
      </c>
      <c s="1852" t="s">
        <v>3343</v>
      </c>
      <c s="1852" t="s">
        <v>3344</v>
      </c>
      <c s="1852" t="s">
        <v>3345</v>
      </c>
      <c s="1852" t="s">
        <v>22</v>
      </c>
      <c s="1852" t="s">
        <v>808</v>
      </c>
    </row>
    <row r="291" spans="1:9" ht="11.25" customHeight="1">
      <c r="A291" s="1852" t="s">
        <v>2247</v>
      </c>
      <c s="1852" t="s">
        <v>16</v>
      </c>
      <c s="1852" t="s">
        <v>3346</v>
      </c>
      <c s="1852" t="s">
        <v>3347</v>
      </c>
      <c s="1852" t="s">
        <v>3348</v>
      </c>
      <c s="1852" t="s">
        <v>2304</v>
      </c>
      <c s="1852" t="s">
        <v>22</v>
      </c>
      <c s="1852" t="s">
        <v>22</v>
      </c>
      <c s="1852" t="s">
        <v>808</v>
      </c>
    </row>
    <row r="292" spans="1:9" ht="11.25" customHeight="1">
      <c r="A292" s="1852" t="s">
        <v>2247</v>
      </c>
      <c s="1852" t="s">
        <v>16</v>
      </c>
      <c s="1852" t="s">
        <v>3349</v>
      </c>
      <c s="1852" t="s">
        <v>3350</v>
      </c>
      <c s="1852" t="s">
        <v>3351</v>
      </c>
      <c s="1852" t="s">
        <v>2272</v>
      </c>
      <c s="1852" t="s">
        <v>22</v>
      </c>
      <c s="1852" t="s">
        <v>22</v>
      </c>
      <c s="1852" t="s">
        <v>808</v>
      </c>
    </row>
    <row r="293" spans="1:9" ht="11.25" customHeight="1">
      <c r="A293" s="1852" t="s">
        <v>2247</v>
      </c>
      <c s="1852" t="s">
        <v>16</v>
      </c>
      <c s="1852" t="s">
        <v>3352</v>
      </c>
      <c s="1852" t="s">
        <v>3353</v>
      </c>
      <c s="1852" t="s">
        <v>3354</v>
      </c>
      <c s="1852" t="s">
        <v>51</v>
      </c>
      <c s="1852" t="s">
        <v>3355</v>
      </c>
      <c s="1852" t="s">
        <v>22</v>
      </c>
      <c s="1852" t="s">
        <v>808</v>
      </c>
    </row>
    <row r="294" spans="1:9" ht="11.25" customHeight="1">
      <c r="A294" s="1852" t="s">
        <v>2247</v>
      </c>
      <c s="1852" t="s">
        <v>16</v>
      </c>
      <c s="1852" t="s">
        <v>3356</v>
      </c>
      <c s="1852" t="s">
        <v>3357</v>
      </c>
      <c s="1852" t="s">
        <v>3358</v>
      </c>
      <c s="1852" t="s">
        <v>2357</v>
      </c>
      <c s="1852" t="s">
        <v>22</v>
      </c>
      <c s="1852" t="s">
        <v>22</v>
      </c>
      <c s="1852" t="s">
        <v>808</v>
      </c>
    </row>
    <row r="295" spans="1:9" ht="11.25" customHeight="1">
      <c r="A295" s="1852" t="s">
        <v>2247</v>
      </c>
      <c s="1852" t="s">
        <v>16</v>
      </c>
      <c s="1852" t="s">
        <v>3359</v>
      </c>
      <c s="1852" t="s">
        <v>3360</v>
      </c>
      <c s="1852" t="s">
        <v>3361</v>
      </c>
      <c s="1852" t="s">
        <v>2262</v>
      </c>
      <c s="1852" t="s">
        <v>22</v>
      </c>
      <c s="1852" t="s">
        <v>22</v>
      </c>
      <c s="1852" t="s">
        <v>808</v>
      </c>
    </row>
    <row r="296" spans="1:9" ht="11.25" customHeight="1">
      <c r="A296" s="1852" t="s">
        <v>2247</v>
      </c>
      <c s="1852" t="s">
        <v>16</v>
      </c>
      <c s="1852" t="s">
        <v>3362</v>
      </c>
      <c s="1852" t="s">
        <v>3363</v>
      </c>
      <c s="1852" t="s">
        <v>3364</v>
      </c>
      <c s="1852" t="s">
        <v>2411</v>
      </c>
      <c s="1852" t="s">
        <v>3365</v>
      </c>
      <c s="1852" t="s">
        <v>22</v>
      </c>
      <c s="1852" t="s">
        <v>808</v>
      </c>
    </row>
    <row r="297" spans="1:9" ht="11.25" customHeight="1">
      <c r="A297" s="1852" t="s">
        <v>2247</v>
      </c>
      <c s="1852" t="s">
        <v>16</v>
      </c>
      <c s="1852" t="s">
        <v>3366</v>
      </c>
      <c s="1852" t="s">
        <v>3367</v>
      </c>
      <c s="1852" t="s">
        <v>3368</v>
      </c>
      <c s="1852" t="s">
        <v>51</v>
      </c>
      <c s="1852" t="s">
        <v>3369</v>
      </c>
      <c s="1852" t="s">
        <v>22</v>
      </c>
      <c s="1852" t="s">
        <v>808</v>
      </c>
    </row>
    <row r="298" spans="1:9" ht="11.25" customHeight="1">
      <c r="A298" s="1852" t="s">
        <v>2247</v>
      </c>
      <c s="1852" t="s">
        <v>16</v>
      </c>
      <c s="1852" t="s">
        <v>3370</v>
      </c>
      <c s="1852" t="s">
        <v>3371</v>
      </c>
      <c s="1852" t="s">
        <v>3372</v>
      </c>
      <c s="1852" t="s">
        <v>2411</v>
      </c>
      <c s="1852" t="s">
        <v>3373</v>
      </c>
      <c s="1852" t="s">
        <v>22</v>
      </c>
      <c s="1852" t="s">
        <v>808</v>
      </c>
    </row>
    <row r="299" spans="1:9" ht="11.25" customHeight="1">
      <c r="A299" s="1852" t="s">
        <v>2247</v>
      </c>
      <c s="1852" t="s">
        <v>16</v>
      </c>
      <c s="1852" t="s">
        <v>3374</v>
      </c>
      <c s="1852" t="s">
        <v>3375</v>
      </c>
      <c s="1852" t="s">
        <v>3376</v>
      </c>
      <c s="1852" t="s">
        <v>2277</v>
      </c>
      <c s="1852" t="s">
        <v>3377</v>
      </c>
      <c s="1852" t="s">
        <v>22</v>
      </c>
      <c s="1852" t="s">
        <v>808</v>
      </c>
    </row>
    <row r="300" spans="1:9" ht="11.25" customHeight="1">
      <c r="A300" s="1852" t="s">
        <v>2247</v>
      </c>
      <c s="1852" t="s">
        <v>16</v>
      </c>
      <c s="1852" t="s">
        <v>3378</v>
      </c>
      <c s="1852" t="s">
        <v>3379</v>
      </c>
      <c s="1852" t="s">
        <v>3380</v>
      </c>
      <c s="1852" t="s">
        <v>2259</v>
      </c>
      <c s="1852" t="s">
        <v>3381</v>
      </c>
      <c s="1852" t="s">
        <v>22</v>
      </c>
      <c s="1852" t="s">
        <v>808</v>
      </c>
    </row>
    <row r="301" spans="1:9" ht="11.25" customHeight="1">
      <c r="A301" s="1852" t="s">
        <v>2247</v>
      </c>
      <c s="1852" t="s">
        <v>16</v>
      </c>
      <c s="1852" t="s">
        <v>3382</v>
      </c>
      <c s="1852" t="s">
        <v>3383</v>
      </c>
      <c s="1852" t="s">
        <v>3384</v>
      </c>
      <c s="1852" t="s">
        <v>2286</v>
      </c>
      <c s="1852" t="s">
        <v>22</v>
      </c>
      <c s="1852" t="s">
        <v>22</v>
      </c>
      <c s="1852" t="s">
        <v>808</v>
      </c>
    </row>
    <row r="302" spans="1:9" ht="11.25" customHeight="1">
      <c r="A302" s="1852" t="s">
        <v>2247</v>
      </c>
      <c s="1852" t="s">
        <v>16</v>
      </c>
      <c s="1852" t="s">
        <v>3385</v>
      </c>
      <c s="1852" t="s">
        <v>3386</v>
      </c>
      <c s="1852" t="s">
        <v>3387</v>
      </c>
      <c s="1852" t="s">
        <v>2347</v>
      </c>
      <c s="1852" t="s">
        <v>22</v>
      </c>
      <c s="1852" t="s">
        <v>22</v>
      </c>
      <c s="1852" t="s">
        <v>808</v>
      </c>
    </row>
    <row r="303" spans="1:9" ht="11.25" customHeight="1">
      <c r="A303" s="1852" t="s">
        <v>2247</v>
      </c>
      <c s="1852" t="s">
        <v>16</v>
      </c>
      <c s="1852" t="s">
        <v>3388</v>
      </c>
      <c s="1852" t="s">
        <v>3389</v>
      </c>
      <c s="1852" t="s">
        <v>3390</v>
      </c>
      <c s="1852" t="s">
        <v>3391</v>
      </c>
      <c s="1852" t="s">
        <v>22</v>
      </c>
      <c s="1852" t="s">
        <v>22</v>
      </c>
      <c s="1852" t="s">
        <v>808</v>
      </c>
    </row>
    <row r="304" spans="1:9" ht="11.25" customHeight="1">
      <c r="A304" s="1852" t="s">
        <v>2247</v>
      </c>
      <c s="1852" t="s">
        <v>16</v>
      </c>
      <c s="1852" t="s">
        <v>3392</v>
      </c>
      <c s="1852" t="s">
        <v>3393</v>
      </c>
      <c s="1852" t="s">
        <v>3394</v>
      </c>
      <c s="1852" t="s">
        <v>2304</v>
      </c>
      <c s="1852" t="s">
        <v>22</v>
      </c>
      <c s="1852" t="s">
        <v>22</v>
      </c>
      <c s="1852" t="s">
        <v>808</v>
      </c>
    </row>
    <row r="305" spans="1:9" ht="11.25" customHeight="1">
      <c r="A305" s="1852" t="s">
        <v>2247</v>
      </c>
      <c s="1852" t="s">
        <v>16</v>
      </c>
      <c s="1852" t="s">
        <v>3395</v>
      </c>
      <c s="1852" t="s">
        <v>3396</v>
      </c>
      <c s="1852" t="s">
        <v>2462</v>
      </c>
      <c s="1852" t="s">
        <v>3397</v>
      </c>
      <c s="1852" t="s">
        <v>22</v>
      </c>
      <c s="1852" t="s">
        <v>22</v>
      </c>
      <c s="1852" t="s">
        <v>808</v>
      </c>
    </row>
    <row r="306" spans="1:9" ht="11.25" customHeight="1">
      <c r="A306" s="1852" t="s">
        <v>2247</v>
      </c>
      <c s="1852" t="s">
        <v>16</v>
      </c>
      <c s="1852" t="s">
        <v>3398</v>
      </c>
      <c s="1852" t="s">
        <v>3399</v>
      </c>
      <c s="1852" t="s">
        <v>3400</v>
      </c>
      <c s="1852" t="s">
        <v>3401</v>
      </c>
      <c s="1852" t="s">
        <v>3402</v>
      </c>
      <c s="1852" t="s">
        <v>22</v>
      </c>
      <c s="1852" t="s">
        <v>808</v>
      </c>
    </row>
    <row r="307" spans="1:9" ht="11.25" customHeight="1">
      <c r="A307" s="1852" t="s">
        <v>2247</v>
      </c>
      <c s="1852" t="s">
        <v>16</v>
      </c>
      <c s="1852" t="s">
        <v>3403</v>
      </c>
      <c s="1852" t="s">
        <v>3404</v>
      </c>
      <c s="1852" t="s">
        <v>3405</v>
      </c>
      <c s="1852" t="s">
        <v>3406</v>
      </c>
      <c s="1852" t="s">
        <v>22</v>
      </c>
      <c s="1852" t="s">
        <v>22</v>
      </c>
      <c s="1852" t="s">
        <v>808</v>
      </c>
    </row>
    <row r="308" spans="1:9" ht="11.25" customHeight="1">
      <c r="A308" s="1852" t="s">
        <v>2247</v>
      </c>
      <c s="1852" t="s">
        <v>16</v>
      </c>
      <c s="1852" t="s">
        <v>3407</v>
      </c>
      <c s="1852" t="s">
        <v>3408</v>
      </c>
      <c s="1852" t="s">
        <v>3409</v>
      </c>
      <c s="1852" t="s">
        <v>3410</v>
      </c>
      <c s="1852" t="s">
        <v>3411</v>
      </c>
      <c s="1852" t="s">
        <v>22</v>
      </c>
      <c s="1852" t="s">
        <v>808</v>
      </c>
    </row>
    <row r="309" spans="1:9" ht="11.25" customHeight="1">
      <c r="A309" s="1852" t="s">
        <v>2247</v>
      </c>
      <c s="1852" t="s">
        <v>16</v>
      </c>
      <c s="1852" t="s">
        <v>3412</v>
      </c>
      <c s="1852" t="s">
        <v>3413</v>
      </c>
      <c s="1852" t="s">
        <v>3414</v>
      </c>
      <c s="1852" t="s">
        <v>2380</v>
      </c>
      <c s="1852" t="s">
        <v>22</v>
      </c>
      <c s="1852" t="s">
        <v>22</v>
      </c>
      <c s="1852" t="s">
        <v>808</v>
      </c>
    </row>
    <row r="310" spans="1:9" ht="11.25" customHeight="1">
      <c r="A310" s="1852" t="s">
        <v>2247</v>
      </c>
      <c s="1852" t="s">
        <v>16</v>
      </c>
      <c s="1852" t="s">
        <v>3415</v>
      </c>
      <c s="1852" t="s">
        <v>3416</v>
      </c>
      <c s="1852" t="s">
        <v>3417</v>
      </c>
      <c s="1852" t="s">
        <v>51</v>
      </c>
      <c s="1852" t="s">
        <v>3418</v>
      </c>
      <c s="1852" t="s">
        <v>22</v>
      </c>
      <c s="1852" t="s">
        <v>808</v>
      </c>
    </row>
    <row r="311" spans="1:9" ht="11.25" customHeight="1">
      <c r="A311" s="1852" t="s">
        <v>2247</v>
      </c>
      <c s="1852" t="s">
        <v>16</v>
      </c>
      <c s="1852" t="s">
        <v>3419</v>
      </c>
      <c s="1852" t="s">
        <v>3420</v>
      </c>
      <c s="1852" t="s">
        <v>2452</v>
      </c>
      <c s="1852" t="s">
        <v>2428</v>
      </c>
      <c s="1852" t="s">
        <v>2454</v>
      </c>
      <c s="1852" t="s">
        <v>22</v>
      </c>
      <c s="1852" t="s">
        <v>808</v>
      </c>
    </row>
    <row r="312" spans="1:9" ht="11.25" customHeight="1">
      <c r="A312" s="1852" t="s">
        <v>2247</v>
      </c>
      <c s="1852" t="s">
        <v>16</v>
      </c>
      <c s="1852" t="s">
        <v>3421</v>
      </c>
      <c s="1852" t="s">
        <v>3422</v>
      </c>
      <c s="1852" t="s">
        <v>3423</v>
      </c>
      <c s="1852" t="s">
        <v>2250</v>
      </c>
      <c s="1852" t="s">
        <v>22</v>
      </c>
      <c s="1852" t="s">
        <v>22</v>
      </c>
      <c s="1852" t="s">
        <v>808</v>
      </c>
    </row>
    <row r="313" spans="1:9" ht="11.25" customHeight="1">
      <c r="A313" s="1852" t="s">
        <v>2247</v>
      </c>
      <c s="1852" t="s">
        <v>16</v>
      </c>
      <c s="1852" t="s">
        <v>3424</v>
      </c>
      <c s="1852" t="s">
        <v>3425</v>
      </c>
      <c s="1852" t="s">
        <v>3426</v>
      </c>
      <c s="1852" t="s">
        <v>2411</v>
      </c>
      <c s="1852" t="s">
        <v>3427</v>
      </c>
      <c s="1852" t="s">
        <v>22</v>
      </c>
      <c s="1852" t="s">
        <v>808</v>
      </c>
    </row>
    <row r="314" spans="1:9" ht="11.25" customHeight="1">
      <c r="A314" s="1852" t="s">
        <v>2247</v>
      </c>
      <c s="1852" t="s">
        <v>16</v>
      </c>
      <c s="1852" t="s">
        <v>3428</v>
      </c>
      <c s="1852" t="s">
        <v>3429</v>
      </c>
      <c s="1852" t="s">
        <v>3430</v>
      </c>
      <c s="1852" t="s">
        <v>51</v>
      </c>
      <c s="1852" t="s">
        <v>3431</v>
      </c>
      <c s="1852" t="s">
        <v>22</v>
      </c>
      <c s="1852" t="s">
        <v>808</v>
      </c>
    </row>
    <row r="315" spans="1:9" ht="11.25" customHeight="1">
      <c r="A315" s="1852" t="s">
        <v>2247</v>
      </c>
      <c s="1852" t="s">
        <v>16</v>
      </c>
      <c s="1852" t="s">
        <v>3432</v>
      </c>
      <c s="1852" t="s">
        <v>3433</v>
      </c>
      <c s="1852" t="s">
        <v>3434</v>
      </c>
      <c s="1852" t="s">
        <v>2411</v>
      </c>
      <c s="1852" t="s">
        <v>2482</v>
      </c>
      <c s="1852" t="s">
        <v>22</v>
      </c>
      <c s="1852" t="s">
        <v>808</v>
      </c>
    </row>
    <row r="316" spans="1:9" ht="11.25" customHeight="1">
      <c r="A316" s="1852" t="s">
        <v>2247</v>
      </c>
      <c s="1852" t="s">
        <v>16</v>
      </c>
      <c s="1852" t="s">
        <v>3435</v>
      </c>
      <c s="1852" t="s">
        <v>3436</v>
      </c>
      <c s="1852" t="s">
        <v>3437</v>
      </c>
      <c s="1852" t="s">
        <v>51</v>
      </c>
      <c s="1852" t="s">
        <v>22</v>
      </c>
      <c s="1852" t="s">
        <v>22</v>
      </c>
      <c s="1852" t="s">
        <v>808</v>
      </c>
    </row>
    <row r="317" spans="1:9" ht="11.25" customHeight="1">
      <c r="A317" s="1852" t="s">
        <v>2247</v>
      </c>
      <c s="1852" t="s">
        <v>16</v>
      </c>
      <c s="1852" t="s">
        <v>3438</v>
      </c>
      <c s="1852" t="s">
        <v>3439</v>
      </c>
      <c s="1852" t="s">
        <v>3440</v>
      </c>
      <c s="1852" t="s">
        <v>2256</v>
      </c>
      <c s="1852" t="s">
        <v>22</v>
      </c>
      <c s="1852" t="s">
        <v>22</v>
      </c>
      <c s="1852" t="s">
        <v>808</v>
      </c>
    </row>
    <row r="318" spans="1:9" ht="11.25" customHeight="1">
      <c r="A318" s="1852" t="s">
        <v>2247</v>
      </c>
      <c s="1852" t="s">
        <v>16</v>
      </c>
      <c s="1852" t="s">
        <v>3441</v>
      </c>
      <c s="1852" t="s">
        <v>3442</v>
      </c>
      <c s="1852" t="s">
        <v>3443</v>
      </c>
      <c s="1852" t="s">
        <v>2265</v>
      </c>
      <c s="1852" t="s">
        <v>22</v>
      </c>
      <c s="1852" t="s">
        <v>22</v>
      </c>
      <c s="1852" t="s">
        <v>808</v>
      </c>
    </row>
    <row r="319" spans="1:9" ht="11.25" customHeight="1">
      <c r="A319" s="1852" t="s">
        <v>2247</v>
      </c>
      <c s="1852" t="s">
        <v>16</v>
      </c>
      <c s="1852" t="s">
        <v>3444</v>
      </c>
      <c s="1852" t="s">
        <v>3445</v>
      </c>
      <c s="1852" t="s">
        <v>2551</v>
      </c>
      <c s="1852" t="s">
        <v>3446</v>
      </c>
      <c s="1852" t="s">
        <v>3447</v>
      </c>
      <c s="1852" t="s">
        <v>22</v>
      </c>
      <c s="1852" t="s">
        <v>808</v>
      </c>
    </row>
    <row r="320" spans="1:9" ht="11.25" customHeight="1">
      <c r="A320" s="1852" t="s">
        <v>2247</v>
      </c>
      <c s="1852" t="s">
        <v>16</v>
      </c>
      <c s="1852" t="s">
        <v>3448</v>
      </c>
      <c s="1852" t="s">
        <v>3449</v>
      </c>
      <c s="1852" t="s">
        <v>3450</v>
      </c>
      <c s="1852" t="s">
        <v>3451</v>
      </c>
      <c s="1852" t="s">
        <v>22</v>
      </c>
      <c s="1852" t="s">
        <v>22</v>
      </c>
      <c s="1852" t="s">
        <v>808</v>
      </c>
    </row>
    <row r="321" spans="1:9" ht="11.25" customHeight="1">
      <c r="A321" s="1852" t="s">
        <v>2247</v>
      </c>
      <c s="1852" t="s">
        <v>16</v>
      </c>
      <c s="1852" t="s">
        <v>3452</v>
      </c>
      <c s="1852" t="s">
        <v>3453</v>
      </c>
      <c s="1852" t="s">
        <v>3454</v>
      </c>
      <c s="1852" t="s">
        <v>2380</v>
      </c>
      <c s="1852" t="s">
        <v>3455</v>
      </c>
      <c s="1852" t="s">
        <v>22</v>
      </c>
      <c s="1852" t="s">
        <v>808</v>
      </c>
    </row>
    <row r="322" spans="1:9" ht="11.25" customHeight="1">
      <c r="A322" s="1852" t="s">
        <v>2247</v>
      </c>
      <c s="1852" t="s">
        <v>16</v>
      </c>
      <c s="1852" t="s">
        <v>3456</v>
      </c>
      <c s="1852" t="s">
        <v>3457</v>
      </c>
      <c s="1852" t="s">
        <v>3458</v>
      </c>
      <c s="1852" t="s">
        <v>2259</v>
      </c>
      <c s="1852" t="s">
        <v>3459</v>
      </c>
      <c s="1852" t="s">
        <v>22</v>
      </c>
      <c s="1852" t="s">
        <v>808</v>
      </c>
    </row>
    <row r="323" spans="1:9" ht="11.25" customHeight="1">
      <c r="A323" s="1852" t="s">
        <v>2247</v>
      </c>
      <c s="1852" t="s">
        <v>16</v>
      </c>
      <c s="1852" t="s">
        <v>3460</v>
      </c>
      <c s="1852" t="s">
        <v>3461</v>
      </c>
      <c s="1852" t="s">
        <v>3462</v>
      </c>
      <c s="1852" t="s">
        <v>2265</v>
      </c>
      <c s="1852" t="s">
        <v>22</v>
      </c>
      <c s="1852" t="s">
        <v>22</v>
      </c>
      <c s="1852" t="s">
        <v>808</v>
      </c>
    </row>
    <row r="324" spans="1:9" ht="11.25" customHeight="1">
      <c r="A324" s="1852" t="s">
        <v>2247</v>
      </c>
      <c s="1852" t="s">
        <v>16</v>
      </c>
      <c s="1852" t="s">
        <v>3463</v>
      </c>
      <c s="1852" t="s">
        <v>3464</v>
      </c>
      <c s="1852" t="s">
        <v>3465</v>
      </c>
      <c s="1852" t="s">
        <v>2411</v>
      </c>
      <c s="1852" t="s">
        <v>3466</v>
      </c>
      <c s="1852" t="s">
        <v>22</v>
      </c>
      <c s="1852" t="s">
        <v>808</v>
      </c>
    </row>
    <row r="325" spans="1:9" ht="11.25" customHeight="1">
      <c r="A325" s="1852" t="s">
        <v>2247</v>
      </c>
      <c s="1852" t="s">
        <v>16</v>
      </c>
      <c s="1852" t="s">
        <v>3467</v>
      </c>
      <c s="1852" t="s">
        <v>3468</v>
      </c>
      <c s="1852" t="s">
        <v>3469</v>
      </c>
      <c s="1852" t="s">
        <v>51</v>
      </c>
      <c s="1852" t="s">
        <v>3470</v>
      </c>
      <c s="1852" t="s">
        <v>22</v>
      </c>
      <c s="1852" t="s">
        <v>808</v>
      </c>
    </row>
    <row r="326" spans="1:9" ht="11.25" customHeight="1">
      <c r="A326" s="1852" t="s">
        <v>2247</v>
      </c>
      <c s="1852" t="s">
        <v>16</v>
      </c>
      <c s="1852" t="s">
        <v>3471</v>
      </c>
      <c s="1852" t="s">
        <v>3472</v>
      </c>
      <c s="1852" t="s">
        <v>3473</v>
      </c>
      <c s="1852" t="s">
        <v>2511</v>
      </c>
      <c s="1852" t="s">
        <v>3474</v>
      </c>
      <c s="1852" t="s">
        <v>22</v>
      </c>
      <c s="1852" t="s">
        <v>808</v>
      </c>
    </row>
    <row r="327" spans="1:9" ht="11.25" customHeight="1">
      <c r="A327" s="1852" t="s">
        <v>2247</v>
      </c>
      <c s="1852" t="s">
        <v>16</v>
      </c>
      <c s="1852" t="s">
        <v>3475</v>
      </c>
      <c s="1852" t="s">
        <v>3476</v>
      </c>
      <c s="1852" t="s">
        <v>3477</v>
      </c>
      <c s="1852" t="s">
        <v>2380</v>
      </c>
      <c s="1852" t="s">
        <v>22</v>
      </c>
      <c s="1852" t="s">
        <v>22</v>
      </c>
      <c s="1852" t="s">
        <v>808</v>
      </c>
    </row>
    <row r="328" spans="1:9" ht="11.25" customHeight="1">
      <c r="A328" s="1852" t="s">
        <v>2247</v>
      </c>
      <c s="1852" t="s">
        <v>16</v>
      </c>
      <c s="1852" t="s">
        <v>3478</v>
      </c>
      <c s="1852" t="s">
        <v>3479</v>
      </c>
      <c s="1852" t="s">
        <v>3480</v>
      </c>
      <c s="1852" t="s">
        <v>2366</v>
      </c>
      <c s="1852" t="s">
        <v>22</v>
      </c>
      <c s="1852" t="s">
        <v>22</v>
      </c>
      <c s="1852" t="s">
        <v>808</v>
      </c>
    </row>
    <row r="329" spans="1:9" ht="11.25" customHeight="1">
      <c r="A329" s="1852" t="s">
        <v>2247</v>
      </c>
      <c s="1852" t="s">
        <v>16</v>
      </c>
      <c s="1852" t="s">
        <v>3481</v>
      </c>
      <c s="1852" t="s">
        <v>3482</v>
      </c>
      <c s="1852" t="s">
        <v>3483</v>
      </c>
      <c s="1852" t="s">
        <v>2380</v>
      </c>
      <c s="1852" t="s">
        <v>22</v>
      </c>
      <c s="1852" t="s">
        <v>22</v>
      </c>
      <c s="1852" t="s">
        <v>808</v>
      </c>
    </row>
    <row r="330" spans="1:9" ht="11.25" customHeight="1">
      <c r="A330" s="1852" t="s">
        <v>2247</v>
      </c>
      <c s="1852" t="s">
        <v>16</v>
      </c>
      <c s="1852" t="s">
        <v>3484</v>
      </c>
      <c s="1852" t="s">
        <v>3485</v>
      </c>
      <c s="1852" t="s">
        <v>3486</v>
      </c>
      <c s="1852" t="s">
        <v>2380</v>
      </c>
      <c s="1852" t="s">
        <v>22</v>
      </c>
      <c s="1852" t="s">
        <v>22</v>
      </c>
      <c s="1852" t="s">
        <v>808</v>
      </c>
    </row>
    <row r="331" spans="1:9" ht="11.25" customHeight="1">
      <c r="A331" s="1852" t="s">
        <v>2247</v>
      </c>
      <c s="1852" t="s">
        <v>16</v>
      </c>
      <c s="1852" t="s">
        <v>3487</v>
      </c>
      <c s="1852" t="s">
        <v>3488</v>
      </c>
      <c s="1852" t="s">
        <v>3489</v>
      </c>
      <c s="1852" t="s">
        <v>2411</v>
      </c>
      <c s="1852" t="s">
        <v>3490</v>
      </c>
      <c s="1852" t="s">
        <v>22</v>
      </c>
      <c s="1852" t="s">
        <v>808</v>
      </c>
    </row>
    <row r="332" spans="1:9" ht="11.25" customHeight="1">
      <c r="A332" s="1852" t="s">
        <v>2247</v>
      </c>
      <c s="1852" t="s">
        <v>16</v>
      </c>
      <c s="1852" t="s">
        <v>3491</v>
      </c>
      <c s="1852" t="s">
        <v>3492</v>
      </c>
      <c s="1852" t="s">
        <v>2859</v>
      </c>
      <c s="1852" t="s">
        <v>2489</v>
      </c>
      <c s="1852" t="s">
        <v>3493</v>
      </c>
      <c s="1852" t="s">
        <v>22</v>
      </c>
      <c s="1852" t="s">
        <v>808</v>
      </c>
    </row>
    <row r="333" spans="1:9" ht="11.25" customHeight="1">
      <c r="A333" s="1852" t="s">
        <v>2247</v>
      </c>
      <c s="1852" t="s">
        <v>16</v>
      </c>
      <c s="1852" t="s">
        <v>3494</v>
      </c>
      <c s="1852" t="s">
        <v>3495</v>
      </c>
      <c s="1852" t="s">
        <v>2859</v>
      </c>
      <c s="1852" t="s">
        <v>2428</v>
      </c>
      <c s="1852" t="s">
        <v>3496</v>
      </c>
      <c s="1852" t="s">
        <v>22</v>
      </c>
      <c s="1852" t="s">
        <v>808</v>
      </c>
    </row>
    <row r="334" spans="1:9" ht="11.25" customHeight="1">
      <c r="A334" s="1852" t="s">
        <v>2247</v>
      </c>
      <c s="1852" t="s">
        <v>16</v>
      </c>
      <c s="1852" t="s">
        <v>3497</v>
      </c>
      <c s="1852" t="s">
        <v>3498</v>
      </c>
      <c s="1852" t="s">
        <v>3097</v>
      </c>
      <c s="1852" t="s">
        <v>3499</v>
      </c>
      <c s="1852" t="s">
        <v>3500</v>
      </c>
      <c s="1852" t="s">
        <v>22</v>
      </c>
      <c s="1852" t="s">
        <v>808</v>
      </c>
    </row>
    <row r="335" spans="1:9" ht="11.25" customHeight="1">
      <c r="A335" s="1852" t="s">
        <v>2247</v>
      </c>
      <c s="1852" t="s">
        <v>16</v>
      </c>
      <c s="1852" t="s">
        <v>3501</v>
      </c>
      <c s="1852" t="s">
        <v>3502</v>
      </c>
      <c s="1852" t="s">
        <v>3503</v>
      </c>
      <c s="1852" t="s">
        <v>3504</v>
      </c>
      <c s="1852" t="s">
        <v>22</v>
      </c>
      <c s="1852" t="s">
        <v>22</v>
      </c>
      <c s="1852" t="s">
        <v>808</v>
      </c>
    </row>
    <row r="336" spans="1:9" ht="11.25" customHeight="1">
      <c r="A336" s="1852" t="s">
        <v>2247</v>
      </c>
      <c s="1852" t="s">
        <v>16</v>
      </c>
      <c s="1852" t="s">
        <v>3505</v>
      </c>
      <c s="1852" t="s">
        <v>3506</v>
      </c>
      <c s="1852" t="s">
        <v>2859</v>
      </c>
      <c s="1852" t="s">
        <v>3507</v>
      </c>
      <c s="1852" t="s">
        <v>3508</v>
      </c>
      <c s="1852" t="s">
        <v>22</v>
      </c>
      <c s="1852" t="s">
        <v>808</v>
      </c>
    </row>
    <row r="337" spans="1:9" ht="11.25" customHeight="1">
      <c r="A337" s="1852" t="s">
        <v>2247</v>
      </c>
      <c s="1852" t="s">
        <v>16</v>
      </c>
      <c s="1852" t="s">
        <v>3509</v>
      </c>
      <c s="1852" t="s">
        <v>3510</v>
      </c>
      <c s="1852" t="s">
        <v>3271</v>
      </c>
      <c s="1852" t="s">
        <v>3507</v>
      </c>
      <c s="1852" t="s">
        <v>3511</v>
      </c>
      <c s="1852" t="s">
        <v>22</v>
      </c>
      <c s="1852" t="s">
        <v>808</v>
      </c>
    </row>
    <row r="338" spans="1:9" ht="11.25" customHeight="1">
      <c r="A338" s="1852" t="s">
        <v>2247</v>
      </c>
      <c s="1852" t="s">
        <v>16</v>
      </c>
      <c s="1852" t="s">
        <v>3512</v>
      </c>
      <c s="1852" t="s">
        <v>3513</v>
      </c>
      <c s="1852" t="s">
        <v>3503</v>
      </c>
      <c s="1852" t="s">
        <v>2347</v>
      </c>
      <c s="1852" t="s">
        <v>22</v>
      </c>
      <c s="1852" t="s">
        <v>22</v>
      </c>
      <c s="1852" t="s">
        <v>808</v>
      </c>
    </row>
    <row r="339" spans="1:9" ht="11.25" customHeight="1">
      <c r="A339" s="1852" t="s">
        <v>2247</v>
      </c>
      <c s="1852" t="s">
        <v>16</v>
      </c>
      <c s="1852" t="s">
        <v>3514</v>
      </c>
      <c s="1852" t="s">
        <v>3515</v>
      </c>
      <c s="1852" t="s">
        <v>3516</v>
      </c>
      <c s="1852" t="s">
        <v>3517</v>
      </c>
      <c s="1852" t="s">
        <v>22</v>
      </c>
      <c s="1852" t="s">
        <v>22</v>
      </c>
      <c s="1852" t="s">
        <v>808</v>
      </c>
    </row>
    <row r="340" spans="1:9" ht="11.25" customHeight="1">
      <c r="A340" s="1852" t="s">
        <v>2247</v>
      </c>
      <c s="1852" t="s">
        <v>16</v>
      </c>
      <c s="1852" t="s">
        <v>3518</v>
      </c>
      <c s="1852" t="s">
        <v>3519</v>
      </c>
      <c s="1852" t="s">
        <v>3520</v>
      </c>
      <c s="1852" t="s">
        <v>3521</v>
      </c>
      <c s="1852" t="s">
        <v>3522</v>
      </c>
      <c s="1852" t="s">
        <v>22</v>
      </c>
      <c s="1852" t="s">
        <v>808</v>
      </c>
    </row>
    <row r="341" spans="1:9" ht="11.25" customHeight="1">
      <c r="A341" s="1852" t="s">
        <v>2247</v>
      </c>
      <c s="1852" t="s">
        <v>16</v>
      </c>
      <c s="1852" t="s">
        <v>3523</v>
      </c>
      <c s="1852" t="s">
        <v>3524</v>
      </c>
      <c s="1852" t="s">
        <v>3520</v>
      </c>
      <c s="1852" t="s">
        <v>2559</v>
      </c>
      <c s="1852" t="s">
        <v>22</v>
      </c>
      <c s="1852" t="s">
        <v>22</v>
      </c>
      <c s="1852" t="s">
        <v>808</v>
      </c>
    </row>
    <row r="342" spans="1:9" ht="11.25" customHeight="1">
      <c r="A342" s="1852" t="s">
        <v>2247</v>
      </c>
      <c s="1852" t="s">
        <v>16</v>
      </c>
      <c s="1852" t="s">
        <v>3525</v>
      </c>
      <c s="1852" t="s">
        <v>3526</v>
      </c>
      <c s="1852" t="s">
        <v>3520</v>
      </c>
      <c s="1852" t="s">
        <v>3527</v>
      </c>
      <c s="1852" t="s">
        <v>3528</v>
      </c>
      <c s="1852" t="s">
        <v>22</v>
      </c>
      <c s="1852" t="s">
        <v>808</v>
      </c>
    </row>
    <row r="343" spans="1:9" ht="11.25" customHeight="1">
      <c r="A343" s="1852" t="s">
        <v>2247</v>
      </c>
      <c s="1852" t="s">
        <v>16</v>
      </c>
      <c s="1852" t="s">
        <v>3529</v>
      </c>
      <c s="1852" t="s">
        <v>3530</v>
      </c>
      <c s="1852" t="s">
        <v>2425</v>
      </c>
      <c s="1852" t="s">
        <v>2262</v>
      </c>
      <c s="1852" t="s">
        <v>22</v>
      </c>
      <c s="1852" t="s">
        <v>22</v>
      </c>
      <c s="1852" t="s">
        <v>808</v>
      </c>
    </row>
    <row r="344" spans="1:9" ht="11.25" customHeight="1">
      <c r="A344" s="1852" t="s">
        <v>2247</v>
      </c>
      <c s="1852" t="s">
        <v>16</v>
      </c>
      <c s="1852" t="s">
        <v>3531</v>
      </c>
      <c s="1852" t="s">
        <v>3532</v>
      </c>
      <c s="1852" t="s">
        <v>2425</v>
      </c>
      <c s="1852" t="s">
        <v>3533</v>
      </c>
      <c s="1852" t="s">
        <v>22</v>
      </c>
      <c s="1852" t="s">
        <v>22</v>
      </c>
      <c s="1852" t="s">
        <v>808</v>
      </c>
    </row>
    <row r="345" spans="1:9" ht="11.25" customHeight="1">
      <c r="A345" s="1852" t="s">
        <v>2247</v>
      </c>
      <c s="1852" t="s">
        <v>16</v>
      </c>
      <c s="1852" t="s">
        <v>3534</v>
      </c>
      <c s="1852" t="s">
        <v>3535</v>
      </c>
      <c s="1852" t="s">
        <v>3536</v>
      </c>
      <c s="1852" t="s">
        <v>3537</v>
      </c>
      <c s="1852" t="s">
        <v>3538</v>
      </c>
      <c s="1852" t="s">
        <v>22</v>
      </c>
      <c s="1852" t="s">
        <v>808</v>
      </c>
    </row>
    <row r="346" spans="1:9" ht="11.25" customHeight="1">
      <c r="A346" s="1852" t="s">
        <v>2247</v>
      </c>
      <c s="1852" t="s">
        <v>16</v>
      </c>
      <c s="1852" t="s">
        <v>3539</v>
      </c>
      <c s="1852" t="s">
        <v>3540</v>
      </c>
      <c s="1852" t="s">
        <v>2943</v>
      </c>
      <c s="1852" t="s">
        <v>3541</v>
      </c>
      <c s="1852" t="s">
        <v>22</v>
      </c>
      <c s="1852" t="s">
        <v>22</v>
      </c>
      <c s="1852" t="s">
        <v>808</v>
      </c>
    </row>
    <row r="347" spans="1:9" ht="11.25" customHeight="1">
      <c r="A347" s="1852" t="s">
        <v>2247</v>
      </c>
      <c s="1852" t="s">
        <v>16</v>
      </c>
      <c s="1852" t="s">
        <v>3542</v>
      </c>
      <c s="1852" t="s">
        <v>3543</v>
      </c>
      <c s="1852" t="s">
        <v>3001</v>
      </c>
      <c s="1852" t="s">
        <v>2448</v>
      </c>
      <c s="1852" t="s">
        <v>3544</v>
      </c>
      <c s="1852" t="s">
        <v>22</v>
      </c>
      <c s="1852" t="s">
        <v>808</v>
      </c>
    </row>
    <row r="348" spans="1:9" ht="11.25" customHeight="1">
      <c r="A348" s="1852" t="s">
        <v>2247</v>
      </c>
      <c s="1852" t="s">
        <v>16</v>
      </c>
      <c s="1852" t="s">
        <v>3545</v>
      </c>
      <c s="1852" t="s">
        <v>3546</v>
      </c>
      <c s="1852" t="s">
        <v>3001</v>
      </c>
      <c s="1852" t="s">
        <v>3547</v>
      </c>
      <c s="1852" t="s">
        <v>3548</v>
      </c>
      <c s="1852" t="s">
        <v>22</v>
      </c>
      <c s="1852" t="s">
        <v>808</v>
      </c>
    </row>
    <row r="349" spans="1:9" ht="11.25" customHeight="1">
      <c r="A349" s="1852" t="s">
        <v>2247</v>
      </c>
      <c s="1852" t="s">
        <v>16</v>
      </c>
      <c s="1852" t="s">
        <v>3549</v>
      </c>
      <c s="1852" t="s">
        <v>3550</v>
      </c>
      <c s="1852" t="s">
        <v>3551</v>
      </c>
      <c s="1852" t="s">
        <v>3552</v>
      </c>
      <c s="1852" t="s">
        <v>22</v>
      </c>
      <c s="1852" t="s">
        <v>22</v>
      </c>
      <c s="1852" t="s">
        <v>808</v>
      </c>
    </row>
    <row r="350" spans="1:9" ht="11.25" customHeight="1">
      <c r="A350" s="1852" t="s">
        <v>2247</v>
      </c>
      <c s="1852" t="s">
        <v>16</v>
      </c>
      <c s="1852" t="s">
        <v>3553</v>
      </c>
      <c s="1852" t="s">
        <v>3554</v>
      </c>
      <c s="1852" t="s">
        <v>3271</v>
      </c>
      <c s="1852" t="s">
        <v>3555</v>
      </c>
      <c s="1852" t="s">
        <v>3273</v>
      </c>
      <c s="1852" t="s">
        <v>22</v>
      </c>
      <c s="1852" t="s">
        <v>808</v>
      </c>
    </row>
    <row r="351" spans="1:9" ht="11.25" customHeight="1">
      <c r="A351" s="1852" t="s">
        <v>2247</v>
      </c>
      <c s="1852" t="s">
        <v>16</v>
      </c>
      <c s="1852" t="s">
        <v>3556</v>
      </c>
      <c s="1852" t="s">
        <v>3557</v>
      </c>
      <c s="1852" t="s">
        <v>2859</v>
      </c>
      <c s="1852" t="s">
        <v>2373</v>
      </c>
      <c s="1852" t="s">
        <v>22</v>
      </c>
      <c s="1852" t="s">
        <v>22</v>
      </c>
      <c s="1852" t="s">
        <v>808</v>
      </c>
    </row>
    <row r="352" spans="1:9" ht="11.25" customHeight="1">
      <c r="A352" s="1852" t="s">
        <v>2247</v>
      </c>
      <c s="1852" t="s">
        <v>16</v>
      </c>
      <c s="1852" t="s">
        <v>3558</v>
      </c>
      <c s="1852" t="s">
        <v>3559</v>
      </c>
      <c s="1852" t="s">
        <v>2307</v>
      </c>
      <c s="1852" t="s">
        <v>3560</v>
      </c>
      <c s="1852" t="s">
        <v>22</v>
      </c>
      <c s="1852" t="s">
        <v>22</v>
      </c>
      <c s="1852" t="s">
        <v>808</v>
      </c>
    </row>
    <row r="353" spans="1:9" ht="11.25" customHeight="1">
      <c r="A353" s="1852" t="s">
        <v>2247</v>
      </c>
      <c s="1852" t="s">
        <v>16</v>
      </c>
      <c s="1852" t="s">
        <v>3561</v>
      </c>
      <c s="1852" t="s">
        <v>3562</v>
      </c>
      <c s="1852" t="s">
        <v>3520</v>
      </c>
      <c s="1852" t="s">
        <v>2797</v>
      </c>
      <c s="1852" t="s">
        <v>22</v>
      </c>
      <c s="1852" t="s">
        <v>22</v>
      </c>
      <c s="1852" t="s">
        <v>808</v>
      </c>
    </row>
    <row r="354" spans="1:9" ht="11.25" customHeight="1">
      <c r="A354" s="1852" t="s">
        <v>2247</v>
      </c>
      <c s="1852" t="s">
        <v>16</v>
      </c>
      <c s="1852" t="s">
        <v>3563</v>
      </c>
      <c s="1852" t="s">
        <v>3564</v>
      </c>
      <c s="1852" t="s">
        <v>3520</v>
      </c>
      <c s="1852" t="s">
        <v>3565</v>
      </c>
      <c s="1852" t="s">
        <v>3566</v>
      </c>
      <c s="1852" t="s">
        <v>22</v>
      </c>
      <c s="1852" t="s">
        <v>808</v>
      </c>
    </row>
    <row r="355" spans="1:9" ht="11.25" customHeight="1">
      <c r="A355" s="1852" t="s">
        <v>2247</v>
      </c>
      <c s="1852" t="s">
        <v>16</v>
      </c>
      <c s="1852" t="s">
        <v>3567</v>
      </c>
      <c s="1852" t="s">
        <v>3568</v>
      </c>
      <c s="1852" t="s">
        <v>2376</v>
      </c>
      <c s="1852" t="s">
        <v>2800</v>
      </c>
      <c s="1852" t="s">
        <v>22</v>
      </c>
      <c s="1852" t="s">
        <v>22</v>
      </c>
      <c s="1852" t="s">
        <v>808</v>
      </c>
    </row>
    <row r="356" spans="1:9" ht="11.25" customHeight="1">
      <c r="A356" s="1852" t="s">
        <v>2247</v>
      </c>
      <c s="1852" t="s">
        <v>16</v>
      </c>
      <c s="1852" t="s">
        <v>3569</v>
      </c>
      <c s="1852" t="s">
        <v>3570</v>
      </c>
      <c s="1852" t="s">
        <v>3001</v>
      </c>
      <c s="1852" t="s">
        <v>2453</v>
      </c>
      <c s="1852" t="s">
        <v>3571</v>
      </c>
      <c s="1852" t="s">
        <v>22</v>
      </c>
      <c s="1852" t="s">
        <v>808</v>
      </c>
    </row>
    <row r="357" spans="1:9" ht="11.25" customHeight="1">
      <c r="A357" s="1852" t="s">
        <v>2247</v>
      </c>
      <c s="1852" t="s">
        <v>16</v>
      </c>
      <c s="1852" t="s">
        <v>3572</v>
      </c>
      <c s="1852" t="s">
        <v>3573</v>
      </c>
      <c s="1852" t="s">
        <v>3574</v>
      </c>
      <c s="1852" t="s">
        <v>3575</v>
      </c>
      <c s="1852" t="s">
        <v>3576</v>
      </c>
      <c s="1852" t="s">
        <v>22</v>
      </c>
      <c s="1852" t="s">
        <v>808</v>
      </c>
    </row>
    <row r="358" spans="1:9" ht="11.25" customHeight="1">
      <c r="A358" s="1852" t="s">
        <v>2247</v>
      </c>
      <c s="1852" t="s">
        <v>16</v>
      </c>
      <c s="1852" t="s">
        <v>3577</v>
      </c>
      <c s="1852" t="s">
        <v>3578</v>
      </c>
      <c s="1852" t="s">
        <v>3579</v>
      </c>
      <c s="1852" t="s">
        <v>2847</v>
      </c>
      <c s="1852" t="s">
        <v>22</v>
      </c>
      <c s="1852" t="s">
        <v>22</v>
      </c>
      <c s="1852" t="s">
        <v>808</v>
      </c>
    </row>
    <row r="359" spans="1:9" ht="11.25" customHeight="1">
      <c r="A359" s="1852" t="s">
        <v>2247</v>
      </c>
      <c s="1852" t="s">
        <v>16</v>
      </c>
      <c s="1852" t="s">
        <v>22</v>
      </c>
      <c s="1852" t="s">
        <v>2248</v>
      </c>
      <c s="1852" t="s">
        <v>2249</v>
      </c>
      <c s="1852" t="s">
        <v>2250</v>
      </c>
      <c s="1852" t="s">
        <v>22</v>
      </c>
      <c s="1852" t="s">
        <v>22</v>
      </c>
      <c s="1852" t="s">
        <v>894</v>
      </c>
    </row>
    <row r="360" spans="1:9" ht="11.25" customHeight="1">
      <c r="A360" s="1852" t="s">
        <v>2247</v>
      </c>
      <c s="1852" t="s">
        <v>16</v>
      </c>
      <c s="1852" t="s">
        <v>22</v>
      </c>
      <c s="1852" t="s">
        <v>2251</v>
      </c>
      <c s="1852" t="s">
        <v>2252</v>
      </c>
      <c s="1852" t="s">
        <v>2253</v>
      </c>
      <c s="1852" t="s">
        <v>22</v>
      </c>
      <c s="1852" t="s">
        <v>22</v>
      </c>
      <c s="1852" t="s">
        <v>894</v>
      </c>
    </row>
    <row r="361" spans="1:9" ht="11.25" customHeight="1">
      <c r="A361" s="1852" t="s">
        <v>2247</v>
      </c>
      <c s="1852" t="s">
        <v>16</v>
      </c>
      <c s="1852" t="s">
        <v>22</v>
      </c>
      <c s="1852" t="s">
        <v>2254</v>
      </c>
      <c s="1852" t="s">
        <v>2255</v>
      </c>
      <c s="1852" t="s">
        <v>2256</v>
      </c>
      <c s="1852" t="s">
        <v>22</v>
      </c>
      <c s="1852" t="s">
        <v>22</v>
      </c>
      <c s="1852" t="s">
        <v>894</v>
      </c>
    </row>
    <row r="362" spans="1:9" ht="11.25" customHeight="1">
      <c r="A362" s="1852" t="s">
        <v>2247</v>
      </c>
      <c s="1852" t="s">
        <v>16</v>
      </c>
      <c s="1852" t="s">
        <v>22</v>
      </c>
      <c s="1852" t="s">
        <v>2257</v>
      </c>
      <c s="1852" t="s">
        <v>2258</v>
      </c>
      <c s="1852" t="s">
        <v>2259</v>
      </c>
      <c s="1852" t="s">
        <v>22</v>
      </c>
      <c s="1852" t="s">
        <v>22</v>
      </c>
      <c s="1852" t="s">
        <v>894</v>
      </c>
    </row>
    <row r="363" spans="1:9" ht="11.25" customHeight="1">
      <c r="A363" s="1852" t="s">
        <v>2247</v>
      </c>
      <c s="1852" t="s">
        <v>16</v>
      </c>
      <c s="1852" t="s">
        <v>22</v>
      </c>
      <c s="1852" t="s">
        <v>2260</v>
      </c>
      <c s="1852" t="s">
        <v>2261</v>
      </c>
      <c s="1852" t="s">
        <v>2262</v>
      </c>
      <c s="1852" t="s">
        <v>22</v>
      </c>
      <c s="1852" t="s">
        <v>22</v>
      </c>
      <c s="1852" t="s">
        <v>894</v>
      </c>
    </row>
    <row r="364" spans="1:9" ht="11.25" customHeight="1">
      <c r="A364" s="1852" t="s">
        <v>2247</v>
      </c>
      <c s="1852" t="s">
        <v>16</v>
      </c>
      <c s="1852" t="s">
        <v>22</v>
      </c>
      <c s="1852" t="s">
        <v>2263</v>
      </c>
      <c s="1852" t="s">
        <v>2264</v>
      </c>
      <c s="1852" t="s">
        <v>2265</v>
      </c>
      <c s="1852" t="s">
        <v>22</v>
      </c>
      <c s="1852" t="s">
        <v>22</v>
      </c>
      <c s="1852" t="s">
        <v>894</v>
      </c>
    </row>
    <row r="365" spans="1:9" ht="11.25" customHeight="1">
      <c r="A365" s="1852" t="s">
        <v>2247</v>
      </c>
      <c s="1852" t="s">
        <v>16</v>
      </c>
      <c s="1852" t="s">
        <v>2278</v>
      </c>
      <c s="1852" t="s">
        <v>2279</v>
      </c>
      <c s="1852" t="s">
        <v>2280</v>
      </c>
      <c s="1852" t="s">
        <v>2281</v>
      </c>
      <c s="1852" t="s">
        <v>2282</v>
      </c>
      <c s="1852" t="s">
        <v>22</v>
      </c>
      <c s="1852" t="s">
        <v>894</v>
      </c>
    </row>
    <row r="366" spans="1:9" ht="11.25" customHeight="1">
      <c r="A366" s="1852" t="s">
        <v>2247</v>
      </c>
      <c s="1852" t="s">
        <v>16</v>
      </c>
      <c s="1852" t="s">
        <v>2297</v>
      </c>
      <c s="1852" t="s">
        <v>2298</v>
      </c>
      <c s="1852" t="s">
        <v>2299</v>
      </c>
      <c s="1852" t="s">
        <v>2300</v>
      </c>
      <c s="1852" t="s">
        <v>22</v>
      </c>
      <c s="1852" t="s">
        <v>22</v>
      </c>
      <c s="1852" t="s">
        <v>894</v>
      </c>
    </row>
    <row r="367" spans="1:9" ht="11.25" customHeight="1">
      <c r="A367" s="1852" t="s">
        <v>2247</v>
      </c>
      <c s="1852" t="s">
        <v>16</v>
      </c>
      <c s="1852" t="s">
        <v>2318</v>
      </c>
      <c s="1852" t="s">
        <v>2319</v>
      </c>
      <c s="1852" t="s">
        <v>2320</v>
      </c>
      <c s="1852" t="s">
        <v>2277</v>
      </c>
      <c s="1852" t="s">
        <v>22</v>
      </c>
      <c s="1852" t="s">
        <v>22</v>
      </c>
      <c s="1852" t="s">
        <v>894</v>
      </c>
    </row>
    <row r="368" spans="1:9" ht="11.25" customHeight="1">
      <c r="A368" s="1852" t="s">
        <v>2247</v>
      </c>
      <c s="1852" t="s">
        <v>16</v>
      </c>
      <c s="1852" t="s">
        <v>2321</v>
      </c>
      <c s="1852" t="s">
        <v>2322</v>
      </c>
      <c s="1852" t="s">
        <v>2323</v>
      </c>
      <c s="1852" t="s">
        <v>2256</v>
      </c>
      <c s="1852" t="s">
        <v>22</v>
      </c>
      <c s="1852" t="s">
        <v>22</v>
      </c>
      <c s="1852" t="s">
        <v>894</v>
      </c>
    </row>
    <row r="369" spans="1:9" ht="11.25" customHeight="1">
      <c r="A369" s="1852" t="s">
        <v>2247</v>
      </c>
      <c s="1852" t="s">
        <v>16</v>
      </c>
      <c s="1852" t="s">
        <v>2324</v>
      </c>
      <c s="1852" t="s">
        <v>2325</v>
      </c>
      <c s="1852" t="s">
        <v>2326</v>
      </c>
      <c s="1852" t="s">
        <v>2272</v>
      </c>
      <c s="1852" t="s">
        <v>2327</v>
      </c>
      <c s="1852" t="s">
        <v>22</v>
      </c>
      <c s="1852" t="s">
        <v>894</v>
      </c>
    </row>
    <row r="370" spans="1:9" ht="11.25" customHeight="1">
      <c r="A370" s="1852" t="s">
        <v>2247</v>
      </c>
      <c s="1852" t="s">
        <v>16</v>
      </c>
      <c s="1852" t="s">
        <v>2328</v>
      </c>
      <c s="1852" t="s">
        <v>2329</v>
      </c>
      <c s="1852" t="s">
        <v>2330</v>
      </c>
      <c s="1852" t="s">
        <v>2291</v>
      </c>
      <c s="1852" t="s">
        <v>22</v>
      </c>
      <c s="1852" t="s">
        <v>22</v>
      </c>
      <c s="1852" t="s">
        <v>894</v>
      </c>
    </row>
    <row r="371" spans="1:9" ht="11.25" customHeight="1">
      <c r="A371" s="1852" t="s">
        <v>2247</v>
      </c>
      <c s="1852" t="s">
        <v>16</v>
      </c>
      <c s="1852" t="s">
        <v>2363</v>
      </c>
      <c s="1852" t="s">
        <v>2364</v>
      </c>
      <c s="1852" t="s">
        <v>2365</v>
      </c>
      <c s="1852" t="s">
        <v>2366</v>
      </c>
      <c s="1852" t="s">
        <v>22</v>
      </c>
      <c s="1852" t="s">
        <v>22</v>
      </c>
      <c s="1852" t="s">
        <v>894</v>
      </c>
    </row>
    <row r="372" spans="1:9" ht="11.25" customHeight="1">
      <c r="A372" s="1852" t="s">
        <v>2247</v>
      </c>
      <c s="1852" t="s">
        <v>16</v>
      </c>
      <c s="1852" t="s">
        <v>2367</v>
      </c>
      <c s="1852" t="s">
        <v>2368</v>
      </c>
      <c s="1852" t="s">
        <v>2369</v>
      </c>
      <c s="1852" t="s">
        <v>2347</v>
      </c>
      <c s="1852" t="s">
        <v>22</v>
      </c>
      <c s="1852" t="s">
        <v>22</v>
      </c>
      <c s="1852" t="s">
        <v>894</v>
      </c>
    </row>
    <row r="373" spans="1:9" ht="11.25" customHeight="1">
      <c r="A373" s="1852" t="s">
        <v>2247</v>
      </c>
      <c s="1852" t="s">
        <v>16</v>
      </c>
      <c s="1852" t="s">
        <v>2374</v>
      </c>
      <c s="1852" t="s">
        <v>2375</v>
      </c>
      <c s="1852" t="s">
        <v>2376</v>
      </c>
      <c s="1852" t="s">
        <v>2256</v>
      </c>
      <c s="1852" t="s">
        <v>22</v>
      </c>
      <c s="1852" t="s">
        <v>22</v>
      </c>
      <c s="1852" t="s">
        <v>894</v>
      </c>
    </row>
    <row r="374" spans="1:9" ht="11.25" customHeight="1">
      <c r="A374" s="1852" t="s">
        <v>2247</v>
      </c>
      <c s="1852" t="s">
        <v>16</v>
      </c>
      <c s="1852" t="s">
        <v>2377</v>
      </c>
      <c s="1852" t="s">
        <v>2378</v>
      </c>
      <c s="1852" t="s">
        <v>2379</v>
      </c>
      <c s="1852" t="s">
        <v>2380</v>
      </c>
      <c s="1852" t="s">
        <v>2381</v>
      </c>
      <c s="1852" t="s">
        <v>22</v>
      </c>
      <c s="1852" t="s">
        <v>894</v>
      </c>
    </row>
    <row r="375" spans="1:9" ht="11.25" customHeight="1">
      <c r="A375" s="1852" t="s">
        <v>2247</v>
      </c>
      <c s="1852" t="s">
        <v>16</v>
      </c>
      <c s="1852" t="s">
        <v>2385</v>
      </c>
      <c s="1852" t="s">
        <v>2386</v>
      </c>
      <c s="1852" t="s">
        <v>2387</v>
      </c>
      <c s="1852" t="s">
        <v>2265</v>
      </c>
      <c s="1852" t="s">
        <v>22</v>
      </c>
      <c s="1852" t="s">
        <v>22</v>
      </c>
      <c s="1852" t="s">
        <v>894</v>
      </c>
    </row>
    <row r="376" spans="1:9" ht="11.25" customHeight="1">
      <c r="A376" s="1852" t="s">
        <v>2247</v>
      </c>
      <c s="1852" t="s">
        <v>16</v>
      </c>
      <c s="1852" t="s">
        <v>2396</v>
      </c>
      <c s="1852" t="s">
        <v>2397</v>
      </c>
      <c s="1852" t="s">
        <v>2398</v>
      </c>
      <c s="1852" t="s">
        <v>2399</v>
      </c>
      <c s="1852" t="s">
        <v>22</v>
      </c>
      <c s="1852" t="s">
        <v>22</v>
      </c>
      <c s="1852" t="s">
        <v>894</v>
      </c>
    </row>
    <row r="377" spans="1:9" ht="11.25" customHeight="1">
      <c r="A377" s="1852" t="s">
        <v>2247</v>
      </c>
      <c s="1852" t="s">
        <v>16</v>
      </c>
      <c s="1852" t="s">
        <v>2400</v>
      </c>
      <c s="1852" t="s">
        <v>2401</v>
      </c>
      <c s="1852" t="s">
        <v>2402</v>
      </c>
      <c s="1852" t="s">
        <v>2403</v>
      </c>
      <c s="1852" t="s">
        <v>2404</v>
      </c>
      <c s="1852" t="s">
        <v>22</v>
      </c>
      <c s="1852" t="s">
        <v>894</v>
      </c>
    </row>
    <row r="378" spans="1:9" ht="11.25" customHeight="1">
      <c r="A378" s="1852" t="s">
        <v>2247</v>
      </c>
      <c s="1852" t="s">
        <v>16</v>
      </c>
      <c s="1852" t="s">
        <v>2405</v>
      </c>
      <c s="1852" t="s">
        <v>2406</v>
      </c>
      <c s="1852" t="s">
        <v>2407</v>
      </c>
      <c s="1852" t="s">
        <v>2259</v>
      </c>
      <c s="1852" t="s">
        <v>22</v>
      </c>
      <c s="1852" t="s">
        <v>22</v>
      </c>
      <c s="1852" t="s">
        <v>894</v>
      </c>
    </row>
    <row r="379" spans="1:9" ht="11.25" customHeight="1">
      <c r="A379" s="1852" t="s">
        <v>2247</v>
      </c>
      <c s="1852" t="s">
        <v>16</v>
      </c>
      <c s="1852" t="s">
        <v>2420</v>
      </c>
      <c s="1852" t="s">
        <v>2421</v>
      </c>
      <c s="1852" t="s">
        <v>2422</v>
      </c>
      <c s="1852" t="s">
        <v>2366</v>
      </c>
      <c s="1852" t="s">
        <v>22</v>
      </c>
      <c s="1852" t="s">
        <v>22</v>
      </c>
      <c s="1852" t="s">
        <v>894</v>
      </c>
    </row>
    <row r="380" spans="1:9" ht="11.25" customHeight="1">
      <c r="A380" s="1852" t="s">
        <v>2247</v>
      </c>
      <c s="1852" t="s">
        <v>16</v>
      </c>
      <c s="1852" t="s">
        <v>2429</v>
      </c>
      <c s="1852" t="s">
        <v>2430</v>
      </c>
      <c s="1852" t="s">
        <v>2431</v>
      </c>
      <c s="1852" t="s">
        <v>2277</v>
      </c>
      <c s="1852" t="s">
        <v>2432</v>
      </c>
      <c s="1852" t="s">
        <v>22</v>
      </c>
      <c s="1852" t="s">
        <v>894</v>
      </c>
    </row>
    <row r="381" spans="1:9" ht="11.25" customHeight="1">
      <c r="A381" s="1852" t="s">
        <v>2247</v>
      </c>
      <c s="1852" t="s">
        <v>16</v>
      </c>
      <c s="1852" t="s">
        <v>2436</v>
      </c>
      <c s="1852" t="s">
        <v>2437</v>
      </c>
      <c s="1852" t="s">
        <v>2438</v>
      </c>
      <c s="1852" t="s">
        <v>2304</v>
      </c>
      <c s="1852" t="s">
        <v>22</v>
      </c>
      <c s="1852" t="s">
        <v>22</v>
      </c>
      <c s="1852" t="s">
        <v>894</v>
      </c>
    </row>
    <row r="382" spans="1:9" ht="11.25" customHeight="1">
      <c r="A382" s="1852" t="s">
        <v>2247</v>
      </c>
      <c s="1852" t="s">
        <v>16</v>
      </c>
      <c s="1852" t="s">
        <v>2443</v>
      </c>
      <c s="1852" t="s">
        <v>2444</v>
      </c>
      <c s="1852" t="s">
        <v>2445</v>
      </c>
      <c s="1852" t="s">
        <v>2256</v>
      </c>
      <c s="1852" t="s">
        <v>2446</v>
      </c>
      <c s="1852" t="s">
        <v>22</v>
      </c>
      <c s="1852" t="s">
        <v>894</v>
      </c>
    </row>
    <row r="383" spans="1:9" ht="11.25" customHeight="1">
      <c r="A383" s="1852" t="s">
        <v>2247</v>
      </c>
      <c s="1852" t="s">
        <v>16</v>
      </c>
      <c s="1852" t="s">
        <v>2447</v>
      </c>
      <c s="1852" t="s">
        <v>2444</v>
      </c>
      <c s="1852" t="s">
        <v>2445</v>
      </c>
      <c s="1852" t="s">
        <v>2448</v>
      </c>
      <c s="1852" t="s">
        <v>2449</v>
      </c>
      <c s="1852" t="s">
        <v>22</v>
      </c>
      <c s="1852" t="s">
        <v>894</v>
      </c>
    </row>
    <row r="384" spans="1:9" ht="11.25" customHeight="1">
      <c r="A384" s="1852" t="s">
        <v>2247</v>
      </c>
      <c s="1852" t="s">
        <v>16</v>
      </c>
      <c s="1852" t="s">
        <v>2450</v>
      </c>
      <c s="1852" t="s">
        <v>2451</v>
      </c>
      <c s="1852" t="s">
        <v>2452</v>
      </c>
      <c s="1852" t="s">
        <v>2453</v>
      </c>
      <c s="1852" t="s">
        <v>2454</v>
      </c>
      <c s="1852" t="s">
        <v>22</v>
      </c>
      <c s="1852" t="s">
        <v>894</v>
      </c>
    </row>
    <row r="385" spans="1:9" ht="11.25" customHeight="1">
      <c r="A385" s="1852" t="s">
        <v>2247</v>
      </c>
      <c s="1852" t="s">
        <v>16</v>
      </c>
      <c s="1852" t="s">
        <v>2455</v>
      </c>
      <c s="1852" t="s">
        <v>2456</v>
      </c>
      <c s="1852" t="s">
        <v>2457</v>
      </c>
      <c s="1852" t="s">
        <v>2458</v>
      </c>
      <c s="1852" t="s">
        <v>2459</v>
      </c>
      <c s="1852" t="s">
        <v>22</v>
      </c>
      <c s="1852" t="s">
        <v>894</v>
      </c>
    </row>
    <row r="386" spans="1:9" ht="11.25" customHeight="1">
      <c r="A386" s="1852" t="s">
        <v>2247</v>
      </c>
      <c s="1852" t="s">
        <v>16</v>
      </c>
      <c s="1852" t="s">
        <v>2460</v>
      </c>
      <c s="1852" t="s">
        <v>2461</v>
      </c>
      <c s="1852" t="s">
        <v>2462</v>
      </c>
      <c s="1852" t="s">
        <v>2463</v>
      </c>
      <c s="1852" t="s">
        <v>22</v>
      </c>
      <c s="1852" t="s">
        <v>22</v>
      </c>
      <c s="1852" t="s">
        <v>894</v>
      </c>
    </row>
    <row r="387" spans="1:9" ht="11.25" customHeight="1">
      <c r="A387" s="1852" t="s">
        <v>2247</v>
      </c>
      <c s="1852" t="s">
        <v>16</v>
      </c>
      <c s="1852" t="s">
        <v>2464</v>
      </c>
      <c s="1852" t="s">
        <v>2465</v>
      </c>
      <c s="1852" t="s">
        <v>2466</v>
      </c>
      <c s="1852" t="s">
        <v>2467</v>
      </c>
      <c s="1852" t="s">
        <v>2468</v>
      </c>
      <c s="1852" t="s">
        <v>22</v>
      </c>
      <c s="1852" t="s">
        <v>894</v>
      </c>
    </row>
    <row r="388" spans="1:9" ht="11.25" customHeight="1">
      <c r="A388" s="1852" t="s">
        <v>2247</v>
      </c>
      <c s="1852" t="s">
        <v>16</v>
      </c>
      <c s="1852" t="s">
        <v>2483</v>
      </c>
      <c s="1852" t="s">
        <v>2484</v>
      </c>
      <c s="1852" t="s">
        <v>2485</v>
      </c>
      <c s="1852" t="s">
        <v>2265</v>
      </c>
      <c s="1852" t="s">
        <v>2486</v>
      </c>
      <c s="1852" t="s">
        <v>22</v>
      </c>
      <c s="1852" t="s">
        <v>894</v>
      </c>
    </row>
    <row r="389" spans="1:9" ht="11.25" customHeight="1">
      <c r="A389" s="1852" t="s">
        <v>2247</v>
      </c>
      <c s="1852" t="s">
        <v>16</v>
      </c>
      <c s="1852" t="s">
        <v>2487</v>
      </c>
      <c s="1852" t="s">
        <v>2488</v>
      </c>
      <c s="1852" t="s">
        <v>2452</v>
      </c>
      <c s="1852" t="s">
        <v>2489</v>
      </c>
      <c s="1852" t="s">
        <v>2454</v>
      </c>
      <c s="1852" t="s">
        <v>22</v>
      </c>
      <c s="1852" t="s">
        <v>894</v>
      </c>
    </row>
    <row r="390" spans="1:9" ht="11.25" customHeight="1">
      <c r="A390" s="1852" t="s">
        <v>2247</v>
      </c>
      <c s="1852" t="s">
        <v>16</v>
      </c>
      <c s="1852" t="s">
        <v>2490</v>
      </c>
      <c s="1852" t="s">
        <v>2491</v>
      </c>
      <c s="1852" t="s">
        <v>2492</v>
      </c>
      <c s="1852" t="s">
        <v>2304</v>
      </c>
      <c s="1852" t="s">
        <v>22</v>
      </c>
      <c s="1852" t="s">
        <v>22</v>
      </c>
      <c s="1852" t="s">
        <v>894</v>
      </c>
    </row>
    <row r="391" spans="1:9" ht="11.25" customHeight="1">
      <c r="A391" s="1852" t="s">
        <v>2247</v>
      </c>
      <c s="1852" t="s">
        <v>16</v>
      </c>
      <c s="1852" t="s">
        <v>22</v>
      </c>
      <c s="1852" t="s">
        <v>2493</v>
      </c>
      <c s="1852" t="s">
        <v>2494</v>
      </c>
      <c s="1852" t="s">
        <v>2277</v>
      </c>
      <c s="1852" t="s">
        <v>22</v>
      </c>
      <c s="1852" t="s">
        <v>22</v>
      </c>
      <c s="1852" t="s">
        <v>894</v>
      </c>
    </row>
    <row r="392" spans="1:9" ht="11.25" customHeight="1">
      <c r="A392" s="1852" t="s">
        <v>2247</v>
      </c>
      <c s="1852" t="s">
        <v>16</v>
      </c>
      <c s="1852" t="s">
        <v>2512</v>
      </c>
      <c s="1852" t="s">
        <v>2513</v>
      </c>
      <c s="1852" t="s">
        <v>2514</v>
      </c>
      <c s="1852" t="s">
        <v>2515</v>
      </c>
      <c s="1852" t="s">
        <v>22</v>
      </c>
      <c s="1852" t="s">
        <v>22</v>
      </c>
      <c s="1852" t="s">
        <v>894</v>
      </c>
    </row>
    <row r="393" spans="1:9" ht="11.25" customHeight="1">
      <c r="A393" s="1852" t="s">
        <v>2247</v>
      </c>
      <c s="1852" t="s">
        <v>16</v>
      </c>
      <c s="1852" t="s">
        <v>2529</v>
      </c>
      <c s="1852" t="s">
        <v>2530</v>
      </c>
      <c s="1852" t="s">
        <v>2531</v>
      </c>
      <c s="1852" t="s">
        <v>575</v>
      </c>
      <c s="1852" t="s">
        <v>2532</v>
      </c>
      <c s="1852" t="s">
        <v>22</v>
      </c>
      <c s="1852" t="s">
        <v>894</v>
      </c>
    </row>
    <row r="394" spans="1:9" ht="11.25" customHeight="1">
      <c r="A394" s="1852" t="s">
        <v>2247</v>
      </c>
      <c s="1852" t="s">
        <v>16</v>
      </c>
      <c s="1852" t="s">
        <v>2537</v>
      </c>
      <c s="1852" t="s">
        <v>2538</v>
      </c>
      <c s="1852" t="s">
        <v>2539</v>
      </c>
      <c s="1852" t="s">
        <v>575</v>
      </c>
      <c s="1852" t="s">
        <v>2540</v>
      </c>
      <c s="1852" t="s">
        <v>22</v>
      </c>
      <c s="1852" t="s">
        <v>894</v>
      </c>
    </row>
    <row r="395" spans="1:9" ht="11.25" customHeight="1">
      <c r="A395" s="1852" t="s">
        <v>2247</v>
      </c>
      <c s="1852" t="s">
        <v>16</v>
      </c>
      <c s="1852" t="s">
        <v>2545</v>
      </c>
      <c s="1852" t="s">
        <v>2546</v>
      </c>
      <c s="1852" t="s">
        <v>2547</v>
      </c>
      <c s="1852" t="s">
        <v>2256</v>
      </c>
      <c s="1852" t="s">
        <v>2548</v>
      </c>
      <c s="1852" t="s">
        <v>22</v>
      </c>
      <c s="1852" t="s">
        <v>894</v>
      </c>
    </row>
    <row r="396" spans="1:9" ht="11.25" customHeight="1">
      <c r="A396" s="1852" t="s">
        <v>2247</v>
      </c>
      <c s="1852" t="s">
        <v>16</v>
      </c>
      <c s="1852" t="s">
        <v>2557</v>
      </c>
      <c s="1852" t="s">
        <v>2558</v>
      </c>
      <c s="1852" t="s">
        <v>2452</v>
      </c>
      <c s="1852" t="s">
        <v>2559</v>
      </c>
      <c s="1852" t="s">
        <v>2454</v>
      </c>
      <c s="1852" t="s">
        <v>22</v>
      </c>
      <c s="1852" t="s">
        <v>894</v>
      </c>
    </row>
    <row r="397" spans="1:9" ht="11.25" customHeight="1">
      <c r="A397" s="1852" t="s">
        <v>2247</v>
      </c>
      <c s="1852" t="s">
        <v>16</v>
      </c>
      <c s="1852" t="s">
        <v>2588</v>
      </c>
      <c s="1852" t="s">
        <v>2589</v>
      </c>
      <c s="1852" t="s">
        <v>2590</v>
      </c>
      <c s="1852" t="s">
        <v>2591</v>
      </c>
      <c s="1852" t="s">
        <v>22</v>
      </c>
      <c s="1852" t="s">
        <v>22</v>
      </c>
      <c s="1852" t="s">
        <v>894</v>
      </c>
    </row>
    <row r="398" spans="1:9" ht="11.25" customHeight="1">
      <c r="A398" s="1852" t="s">
        <v>2247</v>
      </c>
      <c s="1852" t="s">
        <v>16</v>
      </c>
      <c s="1852" t="s">
        <v>2606</v>
      </c>
      <c s="1852" t="s">
        <v>2607</v>
      </c>
      <c s="1852" t="s">
        <v>2608</v>
      </c>
      <c s="1852" t="s">
        <v>2515</v>
      </c>
      <c s="1852" t="s">
        <v>22</v>
      </c>
      <c s="1852" t="s">
        <v>22</v>
      </c>
      <c s="1852" t="s">
        <v>894</v>
      </c>
    </row>
    <row r="399" spans="1:9" ht="11.25" customHeight="1">
      <c r="A399" s="1852" t="s">
        <v>2247</v>
      </c>
      <c s="1852" t="s">
        <v>16</v>
      </c>
      <c s="1852" t="s">
        <v>2609</v>
      </c>
      <c s="1852" t="s">
        <v>2610</v>
      </c>
      <c s="1852" t="s">
        <v>2611</v>
      </c>
      <c s="1852" t="s">
        <v>2612</v>
      </c>
      <c s="1852" t="s">
        <v>22</v>
      </c>
      <c s="1852" t="s">
        <v>22</v>
      </c>
      <c s="1852" t="s">
        <v>894</v>
      </c>
    </row>
    <row r="400" spans="1:9" ht="11.25" customHeight="1">
      <c r="A400" s="1852" t="s">
        <v>2247</v>
      </c>
      <c s="1852" t="s">
        <v>16</v>
      </c>
      <c s="1852" t="s">
        <v>2613</v>
      </c>
      <c s="1852" t="s">
        <v>2614</v>
      </c>
      <c s="1852" t="s">
        <v>2615</v>
      </c>
      <c s="1852" t="s">
        <v>2281</v>
      </c>
      <c s="1852" t="s">
        <v>2616</v>
      </c>
      <c s="1852" t="s">
        <v>22</v>
      </c>
      <c s="1852" t="s">
        <v>894</v>
      </c>
    </row>
    <row r="401" spans="1:9" ht="11.25" customHeight="1">
      <c r="A401" s="1852" t="s">
        <v>2247</v>
      </c>
      <c s="1852" t="s">
        <v>16</v>
      </c>
      <c s="1852" t="s">
        <v>2617</v>
      </c>
      <c s="1852" t="s">
        <v>2618</v>
      </c>
      <c s="1852" t="s">
        <v>2619</v>
      </c>
      <c s="1852" t="s">
        <v>2620</v>
      </c>
      <c s="1852" t="s">
        <v>2621</v>
      </c>
      <c s="1852" t="s">
        <v>22</v>
      </c>
      <c s="1852" t="s">
        <v>894</v>
      </c>
    </row>
    <row r="402" spans="1:9" ht="11.25" customHeight="1">
      <c r="A402" s="1852" t="s">
        <v>2247</v>
      </c>
      <c s="1852" t="s">
        <v>16</v>
      </c>
      <c s="1852" t="s">
        <v>2629</v>
      </c>
      <c s="1852" t="s">
        <v>2630</v>
      </c>
      <c s="1852" t="s">
        <v>2631</v>
      </c>
      <c s="1852" t="s">
        <v>2567</v>
      </c>
      <c s="1852" t="s">
        <v>2632</v>
      </c>
      <c s="1852" t="s">
        <v>22</v>
      </c>
      <c s="1852" t="s">
        <v>894</v>
      </c>
    </row>
    <row r="403" spans="1:9" ht="11.25" customHeight="1">
      <c r="A403" s="1852" t="s">
        <v>2247</v>
      </c>
      <c s="1852" t="s">
        <v>16</v>
      </c>
      <c s="1852" t="s">
        <v>2633</v>
      </c>
      <c s="1852" t="s">
        <v>2634</v>
      </c>
      <c s="1852" t="s">
        <v>2635</v>
      </c>
      <c s="1852" t="s">
        <v>2636</v>
      </c>
      <c s="1852" t="s">
        <v>2637</v>
      </c>
      <c s="1852" t="s">
        <v>22</v>
      </c>
      <c s="1852" t="s">
        <v>894</v>
      </c>
    </row>
    <row r="404" spans="1:9" ht="11.25" customHeight="1">
      <c r="A404" s="1852" t="s">
        <v>2247</v>
      </c>
      <c s="1852" t="s">
        <v>16</v>
      </c>
      <c s="1852" t="s">
        <v>2645</v>
      </c>
      <c s="1852" t="s">
        <v>2646</v>
      </c>
      <c s="1852" t="s">
        <v>2647</v>
      </c>
      <c s="1852" t="s">
        <v>2648</v>
      </c>
      <c s="1852" t="s">
        <v>22</v>
      </c>
      <c s="1852" t="s">
        <v>22</v>
      </c>
      <c s="1852" t="s">
        <v>894</v>
      </c>
    </row>
    <row r="405" spans="1:9" ht="11.25" customHeight="1">
      <c r="A405" s="1852" t="s">
        <v>2247</v>
      </c>
      <c s="1852" t="s">
        <v>16</v>
      </c>
      <c s="1852" t="s">
        <v>2653</v>
      </c>
      <c s="1852" t="s">
        <v>2654</v>
      </c>
      <c s="1852" t="s">
        <v>2655</v>
      </c>
      <c s="1852" t="s">
        <v>2604</v>
      </c>
      <c s="1852" t="s">
        <v>22</v>
      </c>
      <c s="1852" t="s">
        <v>22</v>
      </c>
      <c s="1852" t="s">
        <v>894</v>
      </c>
    </row>
    <row r="406" spans="1:9" ht="11.25" customHeight="1">
      <c r="A406" s="1852" t="s">
        <v>2247</v>
      </c>
      <c s="1852" t="s">
        <v>16</v>
      </c>
      <c s="1852" t="s">
        <v>2661</v>
      </c>
      <c s="1852" t="s">
        <v>2662</v>
      </c>
      <c s="1852" t="s">
        <v>2663</v>
      </c>
      <c s="1852" t="s">
        <v>2584</v>
      </c>
      <c s="1852" t="s">
        <v>22</v>
      </c>
      <c s="1852" t="s">
        <v>22</v>
      </c>
      <c s="1852" t="s">
        <v>894</v>
      </c>
    </row>
    <row r="407" spans="1:9" ht="11.25" customHeight="1">
      <c r="A407" s="1852" t="s">
        <v>2247</v>
      </c>
      <c s="1852" t="s">
        <v>16</v>
      </c>
      <c s="1852" t="s">
        <v>2664</v>
      </c>
      <c s="1852" t="s">
        <v>2665</v>
      </c>
      <c s="1852" t="s">
        <v>2666</v>
      </c>
      <c s="1852" t="s">
        <v>2265</v>
      </c>
      <c s="1852" t="s">
        <v>22</v>
      </c>
      <c s="1852" t="s">
        <v>22</v>
      </c>
      <c s="1852" t="s">
        <v>894</v>
      </c>
    </row>
    <row r="408" spans="1:9" ht="11.25" customHeight="1">
      <c r="A408" s="1852" t="s">
        <v>2247</v>
      </c>
      <c s="1852" t="s">
        <v>16</v>
      </c>
      <c s="1852" t="s">
        <v>2667</v>
      </c>
      <c s="1852" t="s">
        <v>2668</v>
      </c>
      <c s="1852" t="s">
        <v>2669</v>
      </c>
      <c s="1852" t="s">
        <v>2670</v>
      </c>
      <c s="1852" t="s">
        <v>2671</v>
      </c>
      <c s="1852" t="s">
        <v>22</v>
      </c>
      <c s="1852" t="s">
        <v>894</v>
      </c>
    </row>
    <row r="409" spans="1:9" ht="11.25" customHeight="1">
      <c r="A409" s="1852" t="s">
        <v>2247</v>
      </c>
      <c s="1852" t="s">
        <v>16</v>
      </c>
      <c s="1852" t="s">
        <v>2672</v>
      </c>
      <c s="1852" t="s">
        <v>2673</v>
      </c>
      <c s="1852" t="s">
        <v>2674</v>
      </c>
      <c s="1852" t="s">
        <v>2675</v>
      </c>
      <c s="1852" t="s">
        <v>2676</v>
      </c>
      <c s="1852" t="s">
        <v>22</v>
      </c>
      <c s="1852" t="s">
        <v>894</v>
      </c>
    </row>
    <row r="410" spans="1:9" ht="11.25" customHeight="1">
      <c r="A410" s="1852" t="s">
        <v>2247</v>
      </c>
      <c s="1852" t="s">
        <v>16</v>
      </c>
      <c s="1852" t="s">
        <v>2677</v>
      </c>
      <c s="1852" t="s">
        <v>2678</v>
      </c>
      <c s="1852" t="s">
        <v>2679</v>
      </c>
      <c s="1852" t="s">
        <v>2511</v>
      </c>
      <c s="1852" t="s">
        <v>22</v>
      </c>
      <c s="1852" t="s">
        <v>22</v>
      </c>
      <c s="1852" t="s">
        <v>894</v>
      </c>
    </row>
    <row r="411" spans="1:9" ht="11.25" customHeight="1">
      <c r="A411" s="1852" t="s">
        <v>2247</v>
      </c>
      <c s="1852" t="s">
        <v>16</v>
      </c>
      <c s="1852" t="s">
        <v>2680</v>
      </c>
      <c s="1852" t="s">
        <v>2681</v>
      </c>
      <c s="1852" t="s">
        <v>2682</v>
      </c>
      <c s="1852" t="s">
        <v>2567</v>
      </c>
      <c s="1852" t="s">
        <v>2683</v>
      </c>
      <c s="1852" t="s">
        <v>22</v>
      </c>
      <c s="1852" t="s">
        <v>894</v>
      </c>
    </row>
    <row r="412" spans="1:9" ht="11.25" customHeight="1">
      <c r="A412" s="1852" t="s">
        <v>2247</v>
      </c>
      <c s="1852" t="s">
        <v>16</v>
      </c>
      <c s="1852" t="s">
        <v>2684</v>
      </c>
      <c s="1852" t="s">
        <v>2685</v>
      </c>
      <c s="1852" t="s">
        <v>2686</v>
      </c>
      <c s="1852" t="s">
        <v>2253</v>
      </c>
      <c s="1852" t="s">
        <v>2687</v>
      </c>
      <c s="1852" t="s">
        <v>22</v>
      </c>
      <c s="1852" t="s">
        <v>894</v>
      </c>
    </row>
    <row r="413" spans="1:9" ht="11.25" customHeight="1">
      <c r="A413" s="1852" t="s">
        <v>2247</v>
      </c>
      <c s="1852" t="s">
        <v>16</v>
      </c>
      <c s="1852" t="s">
        <v>2688</v>
      </c>
      <c s="1852" t="s">
        <v>2689</v>
      </c>
      <c s="1852" t="s">
        <v>2690</v>
      </c>
      <c s="1852" t="s">
        <v>2691</v>
      </c>
      <c s="1852" t="s">
        <v>2692</v>
      </c>
      <c s="1852" t="s">
        <v>22</v>
      </c>
      <c s="1852" t="s">
        <v>894</v>
      </c>
    </row>
    <row r="414" spans="1:9" ht="11.25" customHeight="1">
      <c r="A414" s="1852" t="s">
        <v>2247</v>
      </c>
      <c s="1852" t="s">
        <v>16</v>
      </c>
      <c s="1852" t="s">
        <v>2693</v>
      </c>
      <c s="1852" t="s">
        <v>2694</v>
      </c>
      <c s="1852" t="s">
        <v>2695</v>
      </c>
      <c s="1852" t="s">
        <v>2262</v>
      </c>
      <c s="1852" t="s">
        <v>22</v>
      </c>
      <c s="1852" t="s">
        <v>22</v>
      </c>
      <c s="1852" t="s">
        <v>894</v>
      </c>
    </row>
    <row r="415" spans="1:9" ht="11.25" customHeight="1">
      <c r="A415" s="1852" t="s">
        <v>2247</v>
      </c>
      <c s="1852" t="s">
        <v>16</v>
      </c>
      <c s="1852" t="s">
        <v>2696</v>
      </c>
      <c s="1852" t="s">
        <v>2697</v>
      </c>
      <c s="1852" t="s">
        <v>2698</v>
      </c>
      <c s="1852" t="s">
        <v>2699</v>
      </c>
      <c s="1852" t="s">
        <v>2700</v>
      </c>
      <c s="1852" t="s">
        <v>22</v>
      </c>
      <c s="1852" t="s">
        <v>894</v>
      </c>
    </row>
    <row r="416" spans="1:9" ht="11.25" customHeight="1">
      <c r="A416" s="1852" t="s">
        <v>2247</v>
      </c>
      <c s="1852" t="s">
        <v>16</v>
      </c>
      <c s="1852" t="s">
        <v>2701</v>
      </c>
      <c s="1852" t="s">
        <v>2702</v>
      </c>
      <c s="1852" t="s">
        <v>2703</v>
      </c>
      <c s="1852" t="s">
        <v>2704</v>
      </c>
      <c s="1852" t="s">
        <v>22</v>
      </c>
      <c s="1852" t="s">
        <v>22</v>
      </c>
      <c s="1852" t="s">
        <v>894</v>
      </c>
    </row>
    <row r="417" spans="1:9" ht="11.25" customHeight="1">
      <c r="A417" s="1852" t="s">
        <v>2247</v>
      </c>
      <c s="1852" t="s">
        <v>16</v>
      </c>
      <c s="1852" t="s">
        <v>2709</v>
      </c>
      <c s="1852" t="s">
        <v>2710</v>
      </c>
      <c s="1852" t="s">
        <v>2711</v>
      </c>
      <c s="1852" t="s">
        <v>2477</v>
      </c>
      <c s="1852" t="s">
        <v>2712</v>
      </c>
      <c s="1852" t="s">
        <v>22</v>
      </c>
      <c s="1852" t="s">
        <v>894</v>
      </c>
    </row>
    <row r="418" spans="1:9" ht="11.25" customHeight="1">
      <c r="A418" s="1852" t="s">
        <v>2247</v>
      </c>
      <c s="1852" t="s">
        <v>16</v>
      </c>
      <c s="1852" t="s">
        <v>2713</v>
      </c>
      <c s="1852" t="s">
        <v>2714</v>
      </c>
      <c s="1852" t="s">
        <v>2715</v>
      </c>
      <c s="1852" t="s">
        <v>2699</v>
      </c>
      <c s="1852" t="s">
        <v>2716</v>
      </c>
      <c s="1852" t="s">
        <v>22</v>
      </c>
      <c s="1852" t="s">
        <v>894</v>
      </c>
    </row>
    <row r="419" spans="1:9" ht="11.25" customHeight="1">
      <c r="A419" s="1852" t="s">
        <v>2247</v>
      </c>
      <c s="1852" t="s">
        <v>16</v>
      </c>
      <c s="1852" t="s">
        <v>2717</v>
      </c>
      <c s="1852" t="s">
        <v>2718</v>
      </c>
      <c s="1852" t="s">
        <v>2719</v>
      </c>
      <c s="1852" t="s">
        <v>2584</v>
      </c>
      <c s="1852" t="s">
        <v>22</v>
      </c>
      <c s="1852" t="s">
        <v>22</v>
      </c>
      <c s="1852" t="s">
        <v>894</v>
      </c>
    </row>
    <row r="420" spans="1:9" ht="11.25" customHeight="1">
      <c r="A420" s="1852" t="s">
        <v>2247</v>
      </c>
      <c s="1852" t="s">
        <v>16</v>
      </c>
      <c s="1852" t="s">
        <v>2720</v>
      </c>
      <c s="1852" t="s">
        <v>2721</v>
      </c>
      <c s="1852" t="s">
        <v>2722</v>
      </c>
      <c s="1852" t="s">
        <v>2723</v>
      </c>
      <c s="1852" t="s">
        <v>22</v>
      </c>
      <c s="1852" t="s">
        <v>22</v>
      </c>
      <c s="1852" t="s">
        <v>894</v>
      </c>
    </row>
    <row r="421" spans="1:9" ht="11.25" customHeight="1">
      <c r="A421" s="1852" t="s">
        <v>2247</v>
      </c>
      <c s="1852" t="s">
        <v>16</v>
      </c>
      <c s="1852" t="s">
        <v>2728</v>
      </c>
      <c s="1852" t="s">
        <v>2729</v>
      </c>
      <c s="1852" t="s">
        <v>2730</v>
      </c>
      <c s="1852" t="s">
        <v>2731</v>
      </c>
      <c s="1852" t="s">
        <v>2732</v>
      </c>
      <c s="1852" t="s">
        <v>22</v>
      </c>
      <c s="1852" t="s">
        <v>894</v>
      </c>
    </row>
    <row r="422" spans="1:9" ht="11.25" customHeight="1">
      <c r="A422" s="1852" t="s">
        <v>2247</v>
      </c>
      <c s="1852" t="s">
        <v>16</v>
      </c>
      <c s="1852" t="s">
        <v>2736</v>
      </c>
      <c s="1852" t="s">
        <v>2737</v>
      </c>
      <c s="1852" t="s">
        <v>2738</v>
      </c>
      <c s="1852" t="s">
        <v>2286</v>
      </c>
      <c s="1852" t="s">
        <v>22</v>
      </c>
      <c s="1852" t="s">
        <v>22</v>
      </c>
      <c s="1852" t="s">
        <v>894</v>
      </c>
    </row>
    <row r="423" spans="1:9" ht="11.25" customHeight="1">
      <c r="A423" s="1852" t="s">
        <v>2247</v>
      </c>
      <c s="1852" t="s">
        <v>16</v>
      </c>
      <c s="1852" t="s">
        <v>2739</v>
      </c>
      <c s="1852" t="s">
        <v>2740</v>
      </c>
      <c s="1852" t="s">
        <v>2741</v>
      </c>
      <c s="1852" t="s">
        <v>2403</v>
      </c>
      <c s="1852" t="s">
        <v>2742</v>
      </c>
      <c s="1852" t="s">
        <v>22</v>
      </c>
      <c s="1852" t="s">
        <v>894</v>
      </c>
    </row>
    <row r="424" spans="1:9" ht="11.25" customHeight="1">
      <c r="A424" s="1852" t="s">
        <v>2247</v>
      </c>
      <c s="1852" t="s">
        <v>16</v>
      </c>
      <c s="1852" t="s">
        <v>2743</v>
      </c>
      <c s="1852" t="s">
        <v>2744</v>
      </c>
      <c s="1852" t="s">
        <v>2745</v>
      </c>
      <c s="1852" t="s">
        <v>2746</v>
      </c>
      <c s="1852" t="s">
        <v>2747</v>
      </c>
      <c s="1852" t="s">
        <v>22</v>
      </c>
      <c s="1852" t="s">
        <v>894</v>
      </c>
    </row>
    <row r="425" spans="1:9" ht="11.25" customHeight="1">
      <c r="A425" s="1852" t="s">
        <v>2247</v>
      </c>
      <c s="1852" t="s">
        <v>16</v>
      </c>
      <c s="1852" t="s">
        <v>2757</v>
      </c>
      <c s="1852" t="s">
        <v>2758</v>
      </c>
      <c s="1852" t="s">
        <v>2759</v>
      </c>
      <c s="1852" t="s">
        <v>2760</v>
      </c>
      <c s="1852" t="s">
        <v>22</v>
      </c>
      <c s="1852" t="s">
        <v>22</v>
      </c>
      <c s="1852" t="s">
        <v>894</v>
      </c>
    </row>
    <row r="426" spans="1:9" ht="11.25" customHeight="1">
      <c r="A426" s="1852" t="s">
        <v>2247</v>
      </c>
      <c s="1852" t="s">
        <v>16</v>
      </c>
      <c s="1852" t="s">
        <v>2765</v>
      </c>
      <c s="1852" t="s">
        <v>2766</v>
      </c>
      <c s="1852" t="s">
        <v>2767</v>
      </c>
      <c s="1852" t="s">
        <v>2675</v>
      </c>
      <c s="1852" t="s">
        <v>2768</v>
      </c>
      <c s="1852" t="s">
        <v>22</v>
      </c>
      <c s="1852" t="s">
        <v>894</v>
      </c>
    </row>
    <row r="427" spans="1:9" ht="11.25" customHeight="1">
      <c r="A427" s="1852" t="s">
        <v>2247</v>
      </c>
      <c s="1852" t="s">
        <v>16</v>
      </c>
      <c s="1852" t="s">
        <v>2772</v>
      </c>
      <c s="1852" t="s">
        <v>2773</v>
      </c>
      <c s="1852" t="s">
        <v>2774</v>
      </c>
      <c s="1852" t="s">
        <v>2600</v>
      </c>
      <c s="1852" t="s">
        <v>22</v>
      </c>
      <c s="1852" t="s">
        <v>22</v>
      </c>
      <c s="1852" t="s">
        <v>894</v>
      </c>
    </row>
    <row r="428" spans="1:9" ht="11.25" customHeight="1">
      <c r="A428" s="1852" t="s">
        <v>2247</v>
      </c>
      <c s="1852" t="s">
        <v>16</v>
      </c>
      <c s="1852" t="s">
        <v>2775</v>
      </c>
      <c s="1852" t="s">
        <v>2776</v>
      </c>
      <c s="1852" t="s">
        <v>2777</v>
      </c>
      <c s="1852" t="s">
        <v>51</v>
      </c>
      <c s="1852" t="s">
        <v>2778</v>
      </c>
      <c s="1852" t="s">
        <v>22</v>
      </c>
      <c s="1852" t="s">
        <v>894</v>
      </c>
    </row>
    <row r="429" spans="1:9" ht="11.25" customHeight="1">
      <c r="A429" s="1852" t="s">
        <v>2247</v>
      </c>
      <c s="1852" t="s">
        <v>16</v>
      </c>
      <c s="1852" t="s">
        <v>2783</v>
      </c>
      <c s="1852" t="s">
        <v>2784</v>
      </c>
      <c s="1852" t="s">
        <v>2785</v>
      </c>
      <c s="1852" t="s">
        <v>2786</v>
      </c>
      <c s="1852" t="s">
        <v>2787</v>
      </c>
      <c s="1852" t="s">
        <v>22</v>
      </c>
      <c s="1852" t="s">
        <v>894</v>
      </c>
    </row>
    <row r="430" spans="1:9" ht="11.25" customHeight="1">
      <c r="A430" s="1852" t="s">
        <v>2247</v>
      </c>
      <c s="1852" t="s">
        <v>16</v>
      </c>
      <c s="1852" t="s">
        <v>2788</v>
      </c>
      <c s="1852" t="s">
        <v>2789</v>
      </c>
      <c s="1852" t="s">
        <v>2790</v>
      </c>
      <c s="1852" t="s">
        <v>2281</v>
      </c>
      <c s="1852" t="s">
        <v>22</v>
      </c>
      <c s="1852" t="s">
        <v>22</v>
      </c>
      <c s="1852" t="s">
        <v>894</v>
      </c>
    </row>
    <row r="431" spans="1:9" ht="11.25" customHeight="1">
      <c r="A431" s="1852" t="s">
        <v>2247</v>
      </c>
      <c s="1852" t="s">
        <v>16</v>
      </c>
      <c s="1852" t="s">
        <v>2798</v>
      </c>
      <c s="1852" t="s">
        <v>2799</v>
      </c>
      <c s="1852" t="s">
        <v>2445</v>
      </c>
      <c s="1852" t="s">
        <v>2800</v>
      </c>
      <c s="1852" t="s">
        <v>2801</v>
      </c>
      <c s="1852" t="s">
        <v>22</v>
      </c>
      <c s="1852" t="s">
        <v>894</v>
      </c>
    </row>
    <row r="432" spans="1:9" ht="11.25" customHeight="1">
      <c r="A432" s="1852" t="s">
        <v>2247</v>
      </c>
      <c s="1852" t="s">
        <v>16</v>
      </c>
      <c s="1852" t="s">
        <v>2848</v>
      </c>
      <c s="1852" t="s">
        <v>2849</v>
      </c>
      <c s="1852" t="s">
        <v>2850</v>
      </c>
      <c s="1852" t="s">
        <v>2851</v>
      </c>
      <c s="1852" t="s">
        <v>2852</v>
      </c>
      <c s="1852" t="s">
        <v>2853</v>
      </c>
      <c s="1852" t="s">
        <v>894</v>
      </c>
    </row>
    <row r="433" spans="1:9" ht="11.25" customHeight="1">
      <c r="A433" s="1852" t="s">
        <v>2247</v>
      </c>
      <c s="1852" t="s">
        <v>16</v>
      </c>
      <c s="1852" t="s">
        <v>2857</v>
      </c>
      <c s="1852" t="s">
        <v>2858</v>
      </c>
      <c s="1852" t="s">
        <v>2859</v>
      </c>
      <c s="1852" t="s">
        <v>2826</v>
      </c>
      <c s="1852" t="s">
        <v>2860</v>
      </c>
      <c s="1852" t="s">
        <v>22</v>
      </c>
      <c s="1852" t="s">
        <v>894</v>
      </c>
    </row>
    <row r="434" spans="1:9" ht="11.25" customHeight="1">
      <c r="A434" s="1852" t="s">
        <v>2247</v>
      </c>
      <c s="1852" t="s">
        <v>16</v>
      </c>
      <c s="1852" t="s">
        <v>2876</v>
      </c>
      <c s="1852" t="s">
        <v>2877</v>
      </c>
      <c s="1852" t="s">
        <v>2878</v>
      </c>
      <c s="1852" t="s">
        <v>2272</v>
      </c>
      <c s="1852" t="s">
        <v>2879</v>
      </c>
      <c s="1852" t="s">
        <v>22</v>
      </c>
      <c s="1852" t="s">
        <v>894</v>
      </c>
    </row>
    <row r="435" spans="1:9" ht="11.25" customHeight="1">
      <c r="A435" s="1852" t="s">
        <v>2247</v>
      </c>
      <c s="1852" t="s">
        <v>16</v>
      </c>
      <c s="1852" t="s">
        <v>2880</v>
      </c>
      <c s="1852" t="s">
        <v>2881</v>
      </c>
      <c s="1852" t="s">
        <v>2882</v>
      </c>
      <c s="1852" t="s">
        <v>2467</v>
      </c>
      <c s="1852" t="s">
        <v>22</v>
      </c>
      <c s="1852" t="s">
        <v>22</v>
      </c>
      <c s="1852" t="s">
        <v>894</v>
      </c>
    </row>
    <row r="436" spans="1:9" ht="11.25" customHeight="1">
      <c r="A436" s="1852" t="s">
        <v>2247</v>
      </c>
      <c s="1852" t="s">
        <v>16</v>
      </c>
      <c s="1852" t="s">
        <v>2897</v>
      </c>
      <c s="1852" t="s">
        <v>2898</v>
      </c>
      <c s="1852" t="s">
        <v>2555</v>
      </c>
      <c s="1852" t="s">
        <v>2899</v>
      </c>
      <c s="1852" t="s">
        <v>22</v>
      </c>
      <c s="1852" t="s">
        <v>22</v>
      </c>
      <c s="1852" t="s">
        <v>894</v>
      </c>
    </row>
    <row r="437" spans="1:9" ht="11.25" customHeight="1">
      <c r="A437" s="1852" t="s">
        <v>2247</v>
      </c>
      <c s="1852" t="s">
        <v>16</v>
      </c>
      <c s="1852" t="s">
        <v>2911</v>
      </c>
      <c s="1852" t="s">
        <v>2912</v>
      </c>
      <c s="1852" t="s">
        <v>2913</v>
      </c>
      <c s="1852" t="s">
        <v>2347</v>
      </c>
      <c s="1852" t="s">
        <v>2914</v>
      </c>
      <c s="1852" t="s">
        <v>22</v>
      </c>
      <c s="1852" t="s">
        <v>894</v>
      </c>
    </row>
    <row r="438" spans="1:9" ht="11.25" customHeight="1">
      <c r="A438" s="1852" t="s">
        <v>2247</v>
      </c>
      <c s="1852" t="s">
        <v>16</v>
      </c>
      <c s="1852" t="s">
        <v>2915</v>
      </c>
      <c s="1852" t="s">
        <v>2916</v>
      </c>
      <c s="1852" t="s">
        <v>2917</v>
      </c>
      <c s="1852" t="s">
        <v>2272</v>
      </c>
      <c s="1852" t="s">
        <v>2918</v>
      </c>
      <c s="1852" t="s">
        <v>22</v>
      </c>
      <c s="1852" t="s">
        <v>894</v>
      </c>
    </row>
    <row r="439" spans="1:9" ht="11.25" customHeight="1">
      <c r="A439" s="1852" t="s">
        <v>2247</v>
      </c>
      <c s="1852" t="s">
        <v>16</v>
      </c>
      <c s="1852" t="s">
        <v>2941</v>
      </c>
      <c s="1852" t="s">
        <v>2942</v>
      </c>
      <c s="1852" t="s">
        <v>2943</v>
      </c>
      <c s="1852" t="s">
        <v>2277</v>
      </c>
      <c s="1852" t="s">
        <v>2944</v>
      </c>
      <c s="1852" t="s">
        <v>22</v>
      </c>
      <c s="1852" t="s">
        <v>894</v>
      </c>
    </row>
    <row r="440" spans="1:9" ht="11.25" customHeight="1">
      <c r="A440" s="1852" t="s">
        <v>2247</v>
      </c>
      <c s="1852" t="s">
        <v>16</v>
      </c>
      <c s="1852" t="s">
        <v>2945</v>
      </c>
      <c s="1852" t="s">
        <v>2946</v>
      </c>
      <c s="1852" t="s">
        <v>2947</v>
      </c>
      <c s="1852" t="s">
        <v>2272</v>
      </c>
      <c s="1852" t="s">
        <v>2671</v>
      </c>
      <c s="1852" t="s">
        <v>22</v>
      </c>
      <c s="1852" t="s">
        <v>894</v>
      </c>
    </row>
    <row r="441" spans="1:9" ht="11.25" customHeight="1">
      <c r="A441" s="1852" t="s">
        <v>2247</v>
      </c>
      <c s="1852" t="s">
        <v>16</v>
      </c>
      <c s="1852" t="s">
        <v>2948</v>
      </c>
      <c s="1852" t="s">
        <v>2949</v>
      </c>
      <c s="1852" t="s">
        <v>2950</v>
      </c>
      <c s="1852" t="s">
        <v>51</v>
      </c>
      <c s="1852" t="s">
        <v>22</v>
      </c>
      <c s="1852" t="s">
        <v>22</v>
      </c>
      <c s="1852" t="s">
        <v>894</v>
      </c>
    </row>
    <row r="442" spans="1:9" ht="11.25" customHeight="1">
      <c r="A442" s="1852" t="s">
        <v>2247</v>
      </c>
      <c s="1852" t="s">
        <v>16</v>
      </c>
      <c s="1852" t="s">
        <v>2962</v>
      </c>
      <c s="1852" t="s">
        <v>2963</v>
      </c>
      <c s="1852" t="s">
        <v>2964</v>
      </c>
      <c s="1852" t="s">
        <v>51</v>
      </c>
      <c s="1852" t="s">
        <v>2965</v>
      </c>
      <c s="1852" t="s">
        <v>22</v>
      </c>
      <c s="1852" t="s">
        <v>894</v>
      </c>
    </row>
    <row r="443" spans="1:9" ht="11.25" customHeight="1">
      <c r="A443" s="1852" t="s">
        <v>2247</v>
      </c>
      <c s="1852" t="s">
        <v>16</v>
      </c>
      <c s="1852" t="s">
        <v>2966</v>
      </c>
      <c s="1852" t="s">
        <v>2967</v>
      </c>
      <c s="1852" t="s">
        <v>2968</v>
      </c>
      <c s="1852" t="s">
        <v>2636</v>
      </c>
      <c s="1852" t="s">
        <v>22</v>
      </c>
      <c s="1852" t="s">
        <v>22</v>
      </c>
      <c s="1852" t="s">
        <v>894</v>
      </c>
    </row>
    <row r="444" spans="1:9" ht="11.25" customHeight="1">
      <c r="A444" s="1852" t="s">
        <v>2247</v>
      </c>
      <c s="1852" t="s">
        <v>16</v>
      </c>
      <c s="1852" t="s">
        <v>2973</v>
      </c>
      <c s="1852" t="s">
        <v>2974</v>
      </c>
      <c s="1852" t="s">
        <v>2975</v>
      </c>
      <c s="1852" t="s">
        <v>2620</v>
      </c>
      <c s="1852" t="s">
        <v>2976</v>
      </c>
      <c s="1852" t="s">
        <v>22</v>
      </c>
      <c s="1852" t="s">
        <v>894</v>
      </c>
    </row>
    <row r="445" spans="1:9" ht="11.25" customHeight="1">
      <c r="A445" s="1852" t="s">
        <v>2247</v>
      </c>
      <c s="1852" t="s">
        <v>16</v>
      </c>
      <c s="1852" t="s">
        <v>2995</v>
      </c>
      <c s="1852" t="s">
        <v>2996</v>
      </c>
      <c s="1852" t="s">
        <v>2997</v>
      </c>
      <c s="1852" t="s">
        <v>2988</v>
      </c>
      <c s="1852" t="s">
        <v>2998</v>
      </c>
      <c s="1852" t="s">
        <v>22</v>
      </c>
      <c s="1852" t="s">
        <v>894</v>
      </c>
    </row>
    <row r="446" spans="1:9" ht="11.25" customHeight="1">
      <c r="A446" s="1852" t="s">
        <v>2247</v>
      </c>
      <c s="1852" t="s">
        <v>16</v>
      </c>
      <c s="1852" t="s">
        <v>2999</v>
      </c>
      <c s="1852" t="s">
        <v>3000</v>
      </c>
      <c s="1852" t="s">
        <v>3001</v>
      </c>
      <c s="1852" t="s">
        <v>2399</v>
      </c>
      <c s="1852" t="s">
        <v>3002</v>
      </c>
      <c s="1852" t="s">
        <v>22</v>
      </c>
      <c s="1852" t="s">
        <v>894</v>
      </c>
    </row>
    <row r="447" spans="1:9" ht="11.25" customHeight="1">
      <c r="A447" s="1852" t="s">
        <v>2247</v>
      </c>
      <c s="1852" t="s">
        <v>16</v>
      </c>
      <c s="1852" t="s">
        <v>3039</v>
      </c>
      <c s="1852" t="s">
        <v>3040</v>
      </c>
      <c s="1852" t="s">
        <v>3041</v>
      </c>
      <c s="1852" t="s">
        <v>2256</v>
      </c>
      <c s="1852" t="s">
        <v>3042</v>
      </c>
      <c s="1852" t="s">
        <v>22</v>
      </c>
      <c s="1852" t="s">
        <v>894</v>
      </c>
    </row>
    <row r="448" spans="1:9" ht="11.25" customHeight="1">
      <c r="A448" s="1852" t="s">
        <v>2247</v>
      </c>
      <c s="1852" t="s">
        <v>16</v>
      </c>
      <c s="1852" t="s">
        <v>3088</v>
      </c>
      <c s="1852" t="s">
        <v>3089</v>
      </c>
      <c s="1852" t="s">
        <v>3090</v>
      </c>
      <c s="1852" t="s">
        <v>2265</v>
      </c>
      <c s="1852" t="s">
        <v>3091</v>
      </c>
      <c s="1852" t="s">
        <v>22</v>
      </c>
      <c s="1852" t="s">
        <v>894</v>
      </c>
    </row>
    <row r="449" spans="1:9" ht="11.25" customHeight="1">
      <c r="A449" s="1852" t="s">
        <v>2247</v>
      </c>
      <c s="1852" t="s">
        <v>16</v>
      </c>
      <c s="1852" t="s">
        <v>3095</v>
      </c>
      <c s="1852" t="s">
        <v>3096</v>
      </c>
      <c s="1852" t="s">
        <v>3097</v>
      </c>
      <c s="1852" t="s">
        <v>3098</v>
      </c>
      <c s="1852" t="s">
        <v>3099</v>
      </c>
      <c s="1852" t="s">
        <v>22</v>
      </c>
      <c s="1852" t="s">
        <v>894</v>
      </c>
    </row>
    <row r="450" spans="1:9" ht="11.25" customHeight="1">
      <c r="A450" s="1852" t="s">
        <v>2247</v>
      </c>
      <c s="1852" t="s">
        <v>16</v>
      </c>
      <c s="1852" t="s">
        <v>3100</v>
      </c>
      <c s="1852" t="s">
        <v>3101</v>
      </c>
      <c s="1852" t="s">
        <v>3102</v>
      </c>
      <c s="1852" t="s">
        <v>51</v>
      </c>
      <c s="1852" t="s">
        <v>3103</v>
      </c>
      <c s="1852" t="s">
        <v>22</v>
      </c>
      <c s="1852" t="s">
        <v>894</v>
      </c>
    </row>
    <row r="451" spans="1:9" ht="11.25" customHeight="1">
      <c r="A451" s="1852" t="s">
        <v>2247</v>
      </c>
      <c s="1852" t="s">
        <v>16</v>
      </c>
      <c s="1852" t="s">
        <v>3104</v>
      </c>
      <c s="1852" t="s">
        <v>3105</v>
      </c>
      <c s="1852" t="s">
        <v>3106</v>
      </c>
      <c s="1852" t="s">
        <v>2291</v>
      </c>
      <c s="1852" t="s">
        <v>22</v>
      </c>
      <c s="1852" t="s">
        <v>22</v>
      </c>
      <c s="1852" t="s">
        <v>894</v>
      </c>
    </row>
    <row r="452" spans="1:9" ht="11.25" customHeight="1">
      <c r="A452" s="1852" t="s">
        <v>2247</v>
      </c>
      <c s="1852" t="s">
        <v>16</v>
      </c>
      <c s="1852" t="s">
        <v>3107</v>
      </c>
      <c s="1852" t="s">
        <v>3108</v>
      </c>
      <c s="1852" t="s">
        <v>3109</v>
      </c>
      <c s="1852" t="s">
        <v>2256</v>
      </c>
      <c s="1852" t="s">
        <v>3110</v>
      </c>
      <c s="1852" t="s">
        <v>22</v>
      </c>
      <c s="1852" t="s">
        <v>894</v>
      </c>
    </row>
    <row r="453" spans="1:9" ht="11.25" customHeight="1">
      <c r="A453" s="1852" t="s">
        <v>2247</v>
      </c>
      <c s="1852" t="s">
        <v>16</v>
      </c>
      <c s="1852" t="s">
        <v>3111</v>
      </c>
      <c s="1852" t="s">
        <v>3112</v>
      </c>
      <c s="1852" t="s">
        <v>3113</v>
      </c>
      <c s="1852" t="s">
        <v>2699</v>
      </c>
      <c s="1852" t="s">
        <v>3114</v>
      </c>
      <c s="1852" t="s">
        <v>22</v>
      </c>
      <c s="1852" t="s">
        <v>894</v>
      </c>
    </row>
    <row r="454" spans="1:9" ht="11.25" customHeight="1">
      <c r="A454" s="1852" t="s">
        <v>2247</v>
      </c>
      <c s="1852" t="s">
        <v>16</v>
      </c>
      <c s="1852" t="s">
        <v>3122</v>
      </c>
      <c s="1852" t="s">
        <v>3123</v>
      </c>
      <c s="1852" t="s">
        <v>3124</v>
      </c>
      <c s="1852" t="s">
        <v>2277</v>
      </c>
      <c s="1852" t="s">
        <v>3125</v>
      </c>
      <c s="1852" t="s">
        <v>22</v>
      </c>
      <c s="1852" t="s">
        <v>894</v>
      </c>
    </row>
    <row r="455" spans="1:9" ht="11.25" customHeight="1">
      <c r="A455" s="1852" t="s">
        <v>2247</v>
      </c>
      <c s="1852" t="s">
        <v>16</v>
      </c>
      <c s="1852" t="s">
        <v>3142</v>
      </c>
      <c s="1852" t="s">
        <v>3143</v>
      </c>
      <c s="1852" t="s">
        <v>3144</v>
      </c>
      <c s="1852" t="s">
        <v>2256</v>
      </c>
      <c s="1852" t="s">
        <v>3145</v>
      </c>
      <c s="1852" t="s">
        <v>22</v>
      </c>
      <c s="1852" t="s">
        <v>894</v>
      </c>
    </row>
    <row r="456" spans="1:9" ht="11.25" customHeight="1">
      <c r="A456" s="1852" t="s">
        <v>2247</v>
      </c>
      <c s="1852" t="s">
        <v>16</v>
      </c>
      <c s="1852" t="s">
        <v>3146</v>
      </c>
      <c s="1852" t="s">
        <v>3143</v>
      </c>
      <c s="1852" t="s">
        <v>3147</v>
      </c>
      <c s="1852" t="s">
        <v>3148</v>
      </c>
      <c s="1852" t="s">
        <v>3149</v>
      </c>
      <c s="1852" t="s">
        <v>22</v>
      </c>
      <c s="1852" t="s">
        <v>894</v>
      </c>
    </row>
    <row r="457" spans="1:9" ht="11.25" customHeight="1">
      <c r="A457" s="1852" t="s">
        <v>2247</v>
      </c>
      <c s="1852" t="s">
        <v>16</v>
      </c>
      <c s="1852" t="s">
        <v>3150</v>
      </c>
      <c s="1852" t="s">
        <v>3151</v>
      </c>
      <c s="1852" t="s">
        <v>3152</v>
      </c>
      <c s="1852" t="s">
        <v>2272</v>
      </c>
      <c s="1852" t="s">
        <v>3153</v>
      </c>
      <c s="1852" t="s">
        <v>22</v>
      </c>
      <c s="1852" t="s">
        <v>894</v>
      </c>
    </row>
    <row r="458" spans="1:9" ht="11.25" customHeight="1">
      <c r="A458" s="1852" t="s">
        <v>2247</v>
      </c>
      <c s="1852" t="s">
        <v>16</v>
      </c>
      <c s="1852" t="s">
        <v>3173</v>
      </c>
      <c s="1852" t="s">
        <v>3174</v>
      </c>
      <c s="1852" t="s">
        <v>3175</v>
      </c>
      <c s="1852" t="s">
        <v>3176</v>
      </c>
      <c s="1852" t="s">
        <v>22</v>
      </c>
      <c s="1852" t="s">
        <v>22</v>
      </c>
      <c s="1852" t="s">
        <v>894</v>
      </c>
    </row>
    <row r="459" spans="1:9" ht="11.25" customHeight="1">
      <c r="A459" s="1852" t="s">
        <v>2247</v>
      </c>
      <c s="1852" t="s">
        <v>16</v>
      </c>
      <c s="1852" t="s">
        <v>3191</v>
      </c>
      <c s="1852" t="s">
        <v>3192</v>
      </c>
      <c s="1852" t="s">
        <v>3193</v>
      </c>
      <c s="1852" t="s">
        <v>3194</v>
      </c>
      <c s="1852" t="s">
        <v>22</v>
      </c>
      <c s="1852" t="s">
        <v>22</v>
      </c>
      <c s="1852" t="s">
        <v>894</v>
      </c>
    </row>
    <row r="460" spans="1:9" ht="11.25" customHeight="1">
      <c r="A460" s="1852" t="s">
        <v>2247</v>
      </c>
      <c s="1852" t="s">
        <v>16</v>
      </c>
      <c s="1852" t="s">
        <v>3203</v>
      </c>
      <c s="1852" t="s">
        <v>3204</v>
      </c>
      <c s="1852" t="s">
        <v>3205</v>
      </c>
      <c s="1852" t="s">
        <v>51</v>
      </c>
      <c s="1852" t="s">
        <v>3206</v>
      </c>
      <c s="1852" t="s">
        <v>22</v>
      </c>
      <c s="1852" t="s">
        <v>894</v>
      </c>
    </row>
    <row r="461" spans="1:9" ht="11.25" customHeight="1">
      <c r="A461" s="1852" t="s">
        <v>2247</v>
      </c>
      <c s="1852" t="s">
        <v>16</v>
      </c>
      <c s="1852" t="s">
        <v>3207</v>
      </c>
      <c s="1852" t="s">
        <v>3208</v>
      </c>
      <c s="1852" t="s">
        <v>3209</v>
      </c>
      <c s="1852" t="s">
        <v>3210</v>
      </c>
      <c s="1852" t="s">
        <v>22</v>
      </c>
      <c s="1852" t="s">
        <v>22</v>
      </c>
      <c s="1852" t="s">
        <v>894</v>
      </c>
    </row>
    <row r="462" spans="1:9" ht="11.25" customHeight="1">
      <c r="A462" s="1852" t="s">
        <v>2247</v>
      </c>
      <c s="1852" t="s">
        <v>16</v>
      </c>
      <c s="1852" t="s">
        <v>3218</v>
      </c>
      <c s="1852" t="s">
        <v>3219</v>
      </c>
      <c s="1852" t="s">
        <v>3220</v>
      </c>
      <c s="1852" t="s">
        <v>3221</v>
      </c>
      <c s="1852" t="s">
        <v>3222</v>
      </c>
      <c s="1852" t="s">
        <v>22</v>
      </c>
      <c s="1852" t="s">
        <v>894</v>
      </c>
    </row>
    <row r="463" spans="1:9" ht="11.25" customHeight="1">
      <c r="A463" s="1852" t="s">
        <v>2247</v>
      </c>
      <c s="1852" t="s">
        <v>16</v>
      </c>
      <c s="1852" t="s">
        <v>3231</v>
      </c>
      <c s="1852" t="s">
        <v>3232</v>
      </c>
      <c s="1852" t="s">
        <v>3233</v>
      </c>
      <c s="1852" t="s">
        <v>2636</v>
      </c>
      <c s="1852" t="s">
        <v>22</v>
      </c>
      <c s="1852" t="s">
        <v>22</v>
      </c>
      <c s="1852" t="s">
        <v>894</v>
      </c>
    </row>
    <row r="464" spans="1:9" ht="11.25" customHeight="1">
      <c r="A464" s="1852" t="s">
        <v>2247</v>
      </c>
      <c s="1852" t="s">
        <v>16</v>
      </c>
      <c s="1852" t="s">
        <v>3247</v>
      </c>
      <c s="1852" t="s">
        <v>3248</v>
      </c>
      <c s="1852" t="s">
        <v>3249</v>
      </c>
      <c s="1852" t="s">
        <v>2277</v>
      </c>
      <c s="1852" t="s">
        <v>3250</v>
      </c>
      <c s="1852" t="s">
        <v>22</v>
      </c>
      <c s="1852" t="s">
        <v>894</v>
      </c>
    </row>
    <row r="465" spans="1:9" ht="11.25" customHeight="1">
      <c r="A465" s="1852" t="s">
        <v>2247</v>
      </c>
      <c s="1852" t="s">
        <v>16</v>
      </c>
      <c s="1852" t="s">
        <v>3255</v>
      </c>
      <c s="1852" t="s">
        <v>3256</v>
      </c>
      <c s="1852" t="s">
        <v>3257</v>
      </c>
      <c s="1852" t="s">
        <v>2366</v>
      </c>
      <c s="1852" t="s">
        <v>22</v>
      </c>
      <c s="1852" t="s">
        <v>22</v>
      </c>
      <c s="1852" t="s">
        <v>894</v>
      </c>
    </row>
    <row r="466" spans="1:9" ht="11.25" customHeight="1">
      <c r="A466" s="1852" t="s">
        <v>2247</v>
      </c>
      <c s="1852" t="s">
        <v>16</v>
      </c>
      <c s="1852" t="s">
        <v>3262</v>
      </c>
      <c s="1852" t="s">
        <v>3263</v>
      </c>
      <c s="1852" t="s">
        <v>3264</v>
      </c>
      <c s="1852" t="s">
        <v>2380</v>
      </c>
      <c s="1852" t="s">
        <v>22</v>
      </c>
      <c s="1852" t="s">
        <v>22</v>
      </c>
      <c s="1852" t="s">
        <v>894</v>
      </c>
    </row>
    <row r="467" spans="1:9" ht="11.25" customHeight="1">
      <c r="A467" s="1852" t="s">
        <v>2247</v>
      </c>
      <c s="1852" t="s">
        <v>16</v>
      </c>
      <c s="1852" t="s">
        <v>3265</v>
      </c>
      <c s="1852" t="s">
        <v>3266</v>
      </c>
      <c s="1852" t="s">
        <v>3267</v>
      </c>
      <c s="1852" t="s">
        <v>51</v>
      </c>
      <c s="1852" t="s">
        <v>3268</v>
      </c>
      <c s="1852" t="s">
        <v>22</v>
      </c>
      <c s="1852" t="s">
        <v>894</v>
      </c>
    </row>
    <row r="468" spans="1:9" ht="11.25" customHeight="1">
      <c r="A468" s="1852" t="s">
        <v>2247</v>
      </c>
      <c s="1852" t="s">
        <v>16</v>
      </c>
      <c s="1852" t="s">
        <v>3269</v>
      </c>
      <c s="1852" t="s">
        <v>3270</v>
      </c>
      <c s="1852" t="s">
        <v>3271</v>
      </c>
      <c s="1852" t="s">
        <v>3272</v>
      </c>
      <c s="1852" t="s">
        <v>3273</v>
      </c>
      <c s="1852" t="s">
        <v>22</v>
      </c>
      <c s="1852" t="s">
        <v>894</v>
      </c>
    </row>
    <row r="469" spans="1:9" ht="11.25" customHeight="1">
      <c r="A469" s="1852" t="s">
        <v>2247</v>
      </c>
      <c s="1852" t="s">
        <v>16</v>
      </c>
      <c s="1852" t="s">
        <v>3274</v>
      </c>
      <c s="1852" t="s">
        <v>3275</v>
      </c>
      <c s="1852" t="s">
        <v>3276</v>
      </c>
      <c s="1852" t="s">
        <v>2347</v>
      </c>
      <c s="1852" t="s">
        <v>22</v>
      </c>
      <c s="1852" t="s">
        <v>22</v>
      </c>
      <c s="1852" t="s">
        <v>894</v>
      </c>
    </row>
    <row r="470" spans="1:9" ht="11.25" customHeight="1">
      <c r="A470" s="1852" t="s">
        <v>2247</v>
      </c>
      <c s="1852" t="s">
        <v>16</v>
      </c>
      <c s="1852" t="s">
        <v>3284</v>
      </c>
      <c s="1852" t="s">
        <v>3285</v>
      </c>
      <c s="1852" t="s">
        <v>3286</v>
      </c>
      <c s="1852" t="s">
        <v>51</v>
      </c>
      <c s="1852" t="s">
        <v>3287</v>
      </c>
      <c s="1852" t="s">
        <v>22</v>
      </c>
      <c s="1852" t="s">
        <v>894</v>
      </c>
    </row>
    <row r="471" spans="1:9" ht="11.25" customHeight="1">
      <c r="A471" s="1852" t="s">
        <v>2247</v>
      </c>
      <c s="1852" t="s">
        <v>16</v>
      </c>
      <c s="1852" t="s">
        <v>3302</v>
      </c>
      <c s="1852" t="s">
        <v>3303</v>
      </c>
      <c s="1852" t="s">
        <v>3304</v>
      </c>
      <c s="1852" t="s">
        <v>51</v>
      </c>
      <c s="1852" t="s">
        <v>3305</v>
      </c>
      <c s="1852" t="s">
        <v>22</v>
      </c>
      <c s="1852" t="s">
        <v>894</v>
      </c>
    </row>
    <row r="472" spans="1:9" ht="11.25" customHeight="1">
      <c r="A472" s="1852" t="s">
        <v>2247</v>
      </c>
      <c s="1852" t="s">
        <v>16</v>
      </c>
      <c s="1852" t="s">
        <v>3306</v>
      </c>
      <c s="1852" t="s">
        <v>3307</v>
      </c>
      <c s="1852" t="s">
        <v>3308</v>
      </c>
      <c s="1852" t="s">
        <v>2659</v>
      </c>
      <c s="1852" t="s">
        <v>22</v>
      </c>
      <c s="1852" t="s">
        <v>22</v>
      </c>
      <c s="1852" t="s">
        <v>894</v>
      </c>
    </row>
    <row r="473" spans="1:9" ht="11.25" customHeight="1">
      <c r="A473" s="1852" t="s">
        <v>2247</v>
      </c>
      <c s="1852" t="s">
        <v>16</v>
      </c>
      <c s="1852" t="s">
        <v>3309</v>
      </c>
      <c s="1852" t="s">
        <v>3310</v>
      </c>
      <c s="1852" t="s">
        <v>3311</v>
      </c>
      <c s="1852" t="s">
        <v>2272</v>
      </c>
      <c s="1852" t="s">
        <v>3312</v>
      </c>
      <c s="1852" t="s">
        <v>22</v>
      </c>
      <c s="1852" t="s">
        <v>894</v>
      </c>
    </row>
    <row r="474" spans="1:9" ht="11.25" customHeight="1">
      <c r="A474" s="1852" t="s">
        <v>2247</v>
      </c>
      <c s="1852" t="s">
        <v>16</v>
      </c>
      <c s="1852" t="s">
        <v>3317</v>
      </c>
      <c s="1852" t="s">
        <v>3318</v>
      </c>
      <c s="1852" t="s">
        <v>3319</v>
      </c>
      <c s="1852" t="s">
        <v>2272</v>
      </c>
      <c s="1852" t="s">
        <v>3320</v>
      </c>
      <c s="1852" t="s">
        <v>22</v>
      </c>
      <c s="1852" t="s">
        <v>894</v>
      </c>
    </row>
    <row r="475" spans="1:9" ht="11.25" customHeight="1">
      <c r="A475" s="1852" t="s">
        <v>2247</v>
      </c>
      <c s="1852" t="s">
        <v>16</v>
      </c>
      <c s="1852" t="s">
        <v>3324</v>
      </c>
      <c s="1852" t="s">
        <v>3325</v>
      </c>
      <c s="1852" t="s">
        <v>3326</v>
      </c>
      <c s="1852" t="s">
        <v>2286</v>
      </c>
      <c s="1852" t="s">
        <v>22</v>
      </c>
      <c s="1852" t="s">
        <v>22</v>
      </c>
      <c s="1852" t="s">
        <v>894</v>
      </c>
    </row>
    <row r="476" spans="1:9" ht="11.25" customHeight="1">
      <c r="A476" s="1852" t="s">
        <v>2247</v>
      </c>
      <c s="1852" t="s">
        <v>16</v>
      </c>
      <c s="1852" t="s">
        <v>3327</v>
      </c>
      <c s="1852" t="s">
        <v>3328</v>
      </c>
      <c s="1852" t="s">
        <v>3329</v>
      </c>
      <c s="1852" t="s">
        <v>51</v>
      </c>
      <c s="1852" t="s">
        <v>3330</v>
      </c>
      <c s="1852" t="s">
        <v>22</v>
      </c>
      <c s="1852" t="s">
        <v>894</v>
      </c>
    </row>
    <row r="477" spans="1:9" ht="11.25" customHeight="1">
      <c r="A477" s="1852" t="s">
        <v>2247</v>
      </c>
      <c s="1852" t="s">
        <v>16</v>
      </c>
      <c s="1852" t="s">
        <v>3362</v>
      </c>
      <c s="1852" t="s">
        <v>3363</v>
      </c>
      <c s="1852" t="s">
        <v>3364</v>
      </c>
      <c s="1852" t="s">
        <v>2411</v>
      </c>
      <c s="1852" t="s">
        <v>3365</v>
      </c>
      <c s="1852" t="s">
        <v>22</v>
      </c>
      <c s="1852" t="s">
        <v>894</v>
      </c>
    </row>
    <row r="478" spans="1:9" ht="11.25" customHeight="1">
      <c r="A478" s="1852" t="s">
        <v>2247</v>
      </c>
      <c s="1852" t="s">
        <v>16</v>
      </c>
      <c s="1852" t="s">
        <v>3366</v>
      </c>
      <c s="1852" t="s">
        <v>3367</v>
      </c>
      <c s="1852" t="s">
        <v>3368</v>
      </c>
      <c s="1852" t="s">
        <v>51</v>
      </c>
      <c s="1852" t="s">
        <v>3369</v>
      </c>
      <c s="1852" t="s">
        <v>22</v>
      </c>
      <c s="1852" t="s">
        <v>894</v>
      </c>
    </row>
    <row r="479" spans="1:9" ht="11.25" customHeight="1">
      <c r="A479" s="1852" t="s">
        <v>2247</v>
      </c>
      <c s="1852" t="s">
        <v>16</v>
      </c>
      <c s="1852" t="s">
        <v>3370</v>
      </c>
      <c s="1852" t="s">
        <v>3371</v>
      </c>
      <c s="1852" t="s">
        <v>3372</v>
      </c>
      <c s="1852" t="s">
        <v>2411</v>
      </c>
      <c s="1852" t="s">
        <v>3373</v>
      </c>
      <c s="1852" t="s">
        <v>22</v>
      </c>
      <c s="1852" t="s">
        <v>894</v>
      </c>
    </row>
    <row r="480" spans="1:9" ht="11.25" customHeight="1">
      <c r="A480" s="1852" t="s">
        <v>2247</v>
      </c>
      <c s="1852" t="s">
        <v>16</v>
      </c>
      <c s="1852" t="s">
        <v>3580</v>
      </c>
      <c s="1852" t="s">
        <v>3581</v>
      </c>
      <c s="1852" t="s">
        <v>2299</v>
      </c>
      <c s="1852" t="s">
        <v>3582</v>
      </c>
      <c s="1852" t="s">
        <v>3583</v>
      </c>
      <c s="1852" t="s">
        <v>22</v>
      </c>
      <c s="1852" t="s">
        <v>894</v>
      </c>
    </row>
    <row r="481" spans="1:9" ht="11.25" customHeight="1">
      <c r="A481" s="1852" t="s">
        <v>2247</v>
      </c>
      <c s="1852" t="s">
        <v>16</v>
      </c>
      <c s="1852" t="s">
        <v>3378</v>
      </c>
      <c s="1852" t="s">
        <v>3379</v>
      </c>
      <c s="1852" t="s">
        <v>3380</v>
      </c>
      <c s="1852" t="s">
        <v>2259</v>
      </c>
      <c s="1852" t="s">
        <v>3381</v>
      </c>
      <c s="1852" t="s">
        <v>22</v>
      </c>
      <c s="1852" t="s">
        <v>894</v>
      </c>
    </row>
    <row r="482" spans="1:9" ht="11.25" customHeight="1">
      <c r="A482" s="1852" t="s">
        <v>2247</v>
      </c>
      <c s="1852" t="s">
        <v>16</v>
      </c>
      <c s="1852" t="s">
        <v>3388</v>
      </c>
      <c s="1852" t="s">
        <v>3389</v>
      </c>
      <c s="1852" t="s">
        <v>3390</v>
      </c>
      <c s="1852" t="s">
        <v>3391</v>
      </c>
      <c s="1852" t="s">
        <v>22</v>
      </c>
      <c s="1852" t="s">
        <v>22</v>
      </c>
      <c s="1852" t="s">
        <v>894</v>
      </c>
    </row>
    <row r="483" spans="1:9" ht="11.25" customHeight="1">
      <c r="A483" s="1852" t="s">
        <v>2247</v>
      </c>
      <c s="1852" t="s">
        <v>16</v>
      </c>
      <c s="1852" t="s">
        <v>3395</v>
      </c>
      <c s="1852" t="s">
        <v>3396</v>
      </c>
      <c s="1852" t="s">
        <v>2462</v>
      </c>
      <c s="1852" t="s">
        <v>3397</v>
      </c>
      <c s="1852" t="s">
        <v>22</v>
      </c>
      <c s="1852" t="s">
        <v>22</v>
      </c>
      <c s="1852" t="s">
        <v>894</v>
      </c>
    </row>
    <row r="484" spans="1:9" ht="11.25" customHeight="1">
      <c r="A484" s="1852" t="s">
        <v>2247</v>
      </c>
      <c s="1852" t="s">
        <v>16</v>
      </c>
      <c s="1852" t="s">
        <v>3398</v>
      </c>
      <c s="1852" t="s">
        <v>3399</v>
      </c>
      <c s="1852" t="s">
        <v>3400</v>
      </c>
      <c s="1852" t="s">
        <v>3401</v>
      </c>
      <c s="1852" t="s">
        <v>3402</v>
      </c>
      <c s="1852" t="s">
        <v>22</v>
      </c>
      <c s="1852" t="s">
        <v>894</v>
      </c>
    </row>
    <row r="485" spans="1:9" ht="11.25" customHeight="1">
      <c r="A485" s="1852" t="s">
        <v>2247</v>
      </c>
      <c s="1852" t="s">
        <v>16</v>
      </c>
      <c s="1852" t="s">
        <v>3403</v>
      </c>
      <c s="1852" t="s">
        <v>3404</v>
      </c>
      <c s="1852" t="s">
        <v>3405</v>
      </c>
      <c s="1852" t="s">
        <v>3406</v>
      </c>
      <c s="1852" t="s">
        <v>22</v>
      </c>
      <c s="1852" t="s">
        <v>22</v>
      </c>
      <c s="1852" t="s">
        <v>894</v>
      </c>
    </row>
    <row r="486" spans="1:9" ht="11.25" customHeight="1">
      <c r="A486" s="1852" t="s">
        <v>2247</v>
      </c>
      <c s="1852" t="s">
        <v>16</v>
      </c>
      <c s="1852" t="s">
        <v>3407</v>
      </c>
      <c s="1852" t="s">
        <v>3408</v>
      </c>
      <c s="1852" t="s">
        <v>3409</v>
      </c>
      <c s="1852" t="s">
        <v>3410</v>
      </c>
      <c s="1852" t="s">
        <v>3411</v>
      </c>
      <c s="1852" t="s">
        <v>22</v>
      </c>
      <c s="1852" t="s">
        <v>894</v>
      </c>
    </row>
    <row r="487" spans="1:9" ht="11.25" customHeight="1">
      <c r="A487" s="1852" t="s">
        <v>2247</v>
      </c>
      <c s="1852" t="s">
        <v>16</v>
      </c>
      <c s="1852" t="s">
        <v>3412</v>
      </c>
      <c s="1852" t="s">
        <v>3413</v>
      </c>
      <c s="1852" t="s">
        <v>3414</v>
      </c>
      <c s="1852" t="s">
        <v>2380</v>
      </c>
      <c s="1852" t="s">
        <v>22</v>
      </c>
      <c s="1852" t="s">
        <v>22</v>
      </c>
      <c s="1852" t="s">
        <v>894</v>
      </c>
    </row>
    <row r="488" spans="1:9" ht="11.25" customHeight="1">
      <c r="A488" s="1852" t="s">
        <v>2247</v>
      </c>
      <c s="1852" t="s">
        <v>16</v>
      </c>
      <c s="1852" t="s">
        <v>3419</v>
      </c>
      <c s="1852" t="s">
        <v>3420</v>
      </c>
      <c s="1852" t="s">
        <v>2452</v>
      </c>
      <c s="1852" t="s">
        <v>2428</v>
      </c>
      <c s="1852" t="s">
        <v>2454</v>
      </c>
      <c s="1852" t="s">
        <v>22</v>
      </c>
      <c s="1852" t="s">
        <v>894</v>
      </c>
    </row>
    <row r="489" spans="1:9" ht="11.25" customHeight="1">
      <c r="A489" s="1852" t="s">
        <v>2247</v>
      </c>
      <c s="1852" t="s">
        <v>16</v>
      </c>
      <c s="1852" t="s">
        <v>3421</v>
      </c>
      <c s="1852" t="s">
        <v>3422</v>
      </c>
      <c s="1852" t="s">
        <v>3423</v>
      </c>
      <c s="1852" t="s">
        <v>2250</v>
      </c>
      <c s="1852" t="s">
        <v>22</v>
      </c>
      <c s="1852" t="s">
        <v>22</v>
      </c>
      <c s="1852" t="s">
        <v>894</v>
      </c>
    </row>
    <row r="490" spans="1:9" ht="11.25" customHeight="1">
      <c r="A490" s="1852" t="s">
        <v>2247</v>
      </c>
      <c s="1852" t="s">
        <v>16</v>
      </c>
      <c s="1852" t="s">
        <v>3424</v>
      </c>
      <c s="1852" t="s">
        <v>3425</v>
      </c>
      <c s="1852" t="s">
        <v>3426</v>
      </c>
      <c s="1852" t="s">
        <v>2411</v>
      </c>
      <c s="1852" t="s">
        <v>3427</v>
      </c>
      <c s="1852" t="s">
        <v>22</v>
      </c>
      <c s="1852" t="s">
        <v>894</v>
      </c>
    </row>
    <row r="491" spans="1:9" ht="11.25" customHeight="1">
      <c r="A491" s="1852" t="s">
        <v>2247</v>
      </c>
      <c s="1852" t="s">
        <v>16</v>
      </c>
      <c s="1852" t="s">
        <v>3428</v>
      </c>
      <c s="1852" t="s">
        <v>3429</v>
      </c>
      <c s="1852" t="s">
        <v>3430</v>
      </c>
      <c s="1852" t="s">
        <v>51</v>
      </c>
      <c s="1852" t="s">
        <v>3431</v>
      </c>
      <c s="1852" t="s">
        <v>22</v>
      </c>
      <c s="1852" t="s">
        <v>894</v>
      </c>
    </row>
    <row r="492" spans="1:9" ht="11.25" customHeight="1">
      <c r="A492" s="1852" t="s">
        <v>2247</v>
      </c>
      <c s="1852" t="s">
        <v>16</v>
      </c>
      <c s="1852" t="s">
        <v>3432</v>
      </c>
      <c s="1852" t="s">
        <v>3433</v>
      </c>
      <c s="1852" t="s">
        <v>3434</v>
      </c>
      <c s="1852" t="s">
        <v>2411</v>
      </c>
      <c s="1852" t="s">
        <v>2482</v>
      </c>
      <c s="1852" t="s">
        <v>22</v>
      </c>
      <c s="1852" t="s">
        <v>894</v>
      </c>
    </row>
    <row r="493" spans="1:9" ht="11.25" customHeight="1">
      <c r="A493" s="1852" t="s">
        <v>2247</v>
      </c>
      <c s="1852" t="s">
        <v>16</v>
      </c>
      <c s="1852" t="s">
        <v>3435</v>
      </c>
      <c s="1852" t="s">
        <v>3436</v>
      </c>
      <c s="1852" t="s">
        <v>3437</v>
      </c>
      <c s="1852" t="s">
        <v>51</v>
      </c>
      <c s="1852" t="s">
        <v>22</v>
      </c>
      <c s="1852" t="s">
        <v>22</v>
      </c>
      <c s="1852" t="s">
        <v>894</v>
      </c>
    </row>
    <row r="494" spans="1:9" ht="11.25" customHeight="1">
      <c r="A494" s="1852" t="s">
        <v>2247</v>
      </c>
      <c s="1852" t="s">
        <v>16</v>
      </c>
      <c s="1852" t="s">
        <v>3441</v>
      </c>
      <c s="1852" t="s">
        <v>3442</v>
      </c>
      <c s="1852" t="s">
        <v>3443</v>
      </c>
      <c s="1852" t="s">
        <v>2265</v>
      </c>
      <c s="1852" t="s">
        <v>22</v>
      </c>
      <c s="1852" t="s">
        <v>22</v>
      </c>
      <c s="1852" t="s">
        <v>894</v>
      </c>
    </row>
    <row r="495" spans="1:9" ht="11.25" customHeight="1">
      <c r="A495" s="1852" t="s">
        <v>2247</v>
      </c>
      <c s="1852" t="s">
        <v>16</v>
      </c>
      <c s="1852" t="s">
        <v>3448</v>
      </c>
      <c s="1852" t="s">
        <v>3449</v>
      </c>
      <c s="1852" t="s">
        <v>3450</v>
      </c>
      <c s="1852" t="s">
        <v>3451</v>
      </c>
      <c s="1852" t="s">
        <v>22</v>
      </c>
      <c s="1852" t="s">
        <v>22</v>
      </c>
      <c s="1852" t="s">
        <v>894</v>
      </c>
    </row>
    <row r="496" spans="1:9" ht="11.25" customHeight="1">
      <c r="A496" s="1852" t="s">
        <v>2247</v>
      </c>
      <c s="1852" t="s">
        <v>16</v>
      </c>
      <c s="1852" t="s">
        <v>3456</v>
      </c>
      <c s="1852" t="s">
        <v>3457</v>
      </c>
      <c s="1852" t="s">
        <v>3458</v>
      </c>
      <c s="1852" t="s">
        <v>2259</v>
      </c>
      <c s="1852" t="s">
        <v>3459</v>
      </c>
      <c s="1852" t="s">
        <v>22</v>
      </c>
      <c s="1852" t="s">
        <v>894</v>
      </c>
    </row>
    <row r="497" spans="1:9" ht="11.25" customHeight="1">
      <c r="A497" s="1852" t="s">
        <v>2247</v>
      </c>
      <c s="1852" t="s">
        <v>16</v>
      </c>
      <c s="1852" t="s">
        <v>3460</v>
      </c>
      <c s="1852" t="s">
        <v>3461</v>
      </c>
      <c s="1852" t="s">
        <v>3462</v>
      </c>
      <c s="1852" t="s">
        <v>2265</v>
      </c>
      <c s="1852" t="s">
        <v>22</v>
      </c>
      <c s="1852" t="s">
        <v>22</v>
      </c>
      <c s="1852" t="s">
        <v>894</v>
      </c>
    </row>
    <row r="498" spans="1:9" ht="11.25" customHeight="1">
      <c r="A498" s="1852" t="s">
        <v>2247</v>
      </c>
      <c s="1852" t="s">
        <v>16</v>
      </c>
      <c s="1852" t="s">
        <v>3463</v>
      </c>
      <c s="1852" t="s">
        <v>3464</v>
      </c>
      <c s="1852" t="s">
        <v>3465</v>
      </c>
      <c s="1852" t="s">
        <v>2411</v>
      </c>
      <c s="1852" t="s">
        <v>3466</v>
      </c>
      <c s="1852" t="s">
        <v>22</v>
      </c>
      <c s="1852" t="s">
        <v>894</v>
      </c>
    </row>
    <row r="499" spans="1:9" ht="11.25" customHeight="1">
      <c r="A499" s="1852" t="s">
        <v>2247</v>
      </c>
      <c s="1852" t="s">
        <v>16</v>
      </c>
      <c s="1852" t="s">
        <v>3467</v>
      </c>
      <c s="1852" t="s">
        <v>3468</v>
      </c>
      <c s="1852" t="s">
        <v>3469</v>
      </c>
      <c s="1852" t="s">
        <v>51</v>
      </c>
      <c s="1852" t="s">
        <v>3470</v>
      </c>
      <c s="1852" t="s">
        <v>22</v>
      </c>
      <c s="1852" t="s">
        <v>894</v>
      </c>
    </row>
    <row r="500" spans="1:9" ht="11.25" customHeight="1">
      <c r="A500" s="1852" t="s">
        <v>2247</v>
      </c>
      <c s="1852" t="s">
        <v>16</v>
      </c>
      <c s="1852" t="s">
        <v>3475</v>
      </c>
      <c s="1852" t="s">
        <v>3476</v>
      </c>
      <c s="1852" t="s">
        <v>3477</v>
      </c>
      <c s="1852" t="s">
        <v>2380</v>
      </c>
      <c s="1852" t="s">
        <v>22</v>
      </c>
      <c s="1852" t="s">
        <v>22</v>
      </c>
      <c s="1852" t="s">
        <v>894</v>
      </c>
    </row>
    <row r="501" spans="1:9" ht="11.25" customHeight="1">
      <c r="A501" s="1852" t="s">
        <v>2247</v>
      </c>
      <c s="1852" t="s">
        <v>16</v>
      </c>
      <c s="1852" t="s">
        <v>3481</v>
      </c>
      <c s="1852" t="s">
        <v>3482</v>
      </c>
      <c s="1852" t="s">
        <v>3483</v>
      </c>
      <c s="1852" t="s">
        <v>2380</v>
      </c>
      <c s="1852" t="s">
        <v>22</v>
      </c>
      <c s="1852" t="s">
        <v>22</v>
      </c>
      <c s="1852" t="s">
        <v>894</v>
      </c>
    </row>
    <row r="502" spans="1:9" ht="11.25" customHeight="1">
      <c r="A502" s="1852" t="s">
        <v>2247</v>
      </c>
      <c s="1852" t="s">
        <v>16</v>
      </c>
      <c s="1852" t="s">
        <v>3484</v>
      </c>
      <c s="1852" t="s">
        <v>3485</v>
      </c>
      <c s="1852" t="s">
        <v>3486</v>
      </c>
      <c s="1852" t="s">
        <v>2380</v>
      </c>
      <c s="1852" t="s">
        <v>22</v>
      </c>
      <c s="1852" t="s">
        <v>22</v>
      </c>
      <c s="1852" t="s">
        <v>894</v>
      </c>
    </row>
    <row r="503" spans="1:9" ht="11.25" customHeight="1">
      <c r="A503" s="1852" t="s">
        <v>2247</v>
      </c>
      <c s="1852" t="s">
        <v>16</v>
      </c>
      <c s="1852" t="s">
        <v>3487</v>
      </c>
      <c s="1852" t="s">
        <v>3488</v>
      </c>
      <c s="1852" t="s">
        <v>3489</v>
      </c>
      <c s="1852" t="s">
        <v>2411</v>
      </c>
      <c s="1852" t="s">
        <v>3490</v>
      </c>
      <c s="1852" t="s">
        <v>22</v>
      </c>
      <c s="1852" t="s">
        <v>894</v>
      </c>
    </row>
    <row r="504" spans="1:9" ht="11.25" customHeight="1">
      <c r="A504" s="1852" t="s">
        <v>2247</v>
      </c>
      <c s="1852" t="s">
        <v>16</v>
      </c>
      <c s="1852" t="s">
        <v>3497</v>
      </c>
      <c s="1852" t="s">
        <v>3498</v>
      </c>
      <c s="1852" t="s">
        <v>3097</v>
      </c>
      <c s="1852" t="s">
        <v>3499</v>
      </c>
      <c s="1852" t="s">
        <v>3500</v>
      </c>
      <c s="1852" t="s">
        <v>22</v>
      </c>
      <c s="1852" t="s">
        <v>894</v>
      </c>
    </row>
    <row r="505" spans="1:9" ht="11.25" customHeight="1">
      <c r="A505" s="1852" t="s">
        <v>2247</v>
      </c>
      <c s="1852" t="s">
        <v>16</v>
      </c>
      <c s="1852" t="s">
        <v>3501</v>
      </c>
      <c s="1852" t="s">
        <v>3502</v>
      </c>
      <c s="1852" t="s">
        <v>3503</v>
      </c>
      <c s="1852" t="s">
        <v>3504</v>
      </c>
      <c s="1852" t="s">
        <v>22</v>
      </c>
      <c s="1852" t="s">
        <v>22</v>
      </c>
      <c s="1852" t="s">
        <v>894</v>
      </c>
    </row>
    <row r="506" spans="1:9" ht="11.25" customHeight="1">
      <c r="A506" s="1852" t="s">
        <v>2247</v>
      </c>
      <c s="1852" t="s">
        <v>16</v>
      </c>
      <c s="1852" t="s">
        <v>3505</v>
      </c>
      <c s="1852" t="s">
        <v>3506</v>
      </c>
      <c s="1852" t="s">
        <v>2859</v>
      </c>
      <c s="1852" t="s">
        <v>3507</v>
      </c>
      <c s="1852" t="s">
        <v>3508</v>
      </c>
      <c s="1852" t="s">
        <v>22</v>
      </c>
      <c s="1852" t="s">
        <v>894</v>
      </c>
    </row>
    <row r="507" spans="1:9" ht="11.25" customHeight="1">
      <c r="A507" s="1852" t="s">
        <v>2247</v>
      </c>
      <c s="1852" t="s">
        <v>16</v>
      </c>
      <c s="1852" t="s">
        <v>3509</v>
      </c>
      <c s="1852" t="s">
        <v>3510</v>
      </c>
      <c s="1852" t="s">
        <v>3271</v>
      </c>
      <c s="1852" t="s">
        <v>3507</v>
      </c>
      <c s="1852" t="s">
        <v>3511</v>
      </c>
      <c s="1852" t="s">
        <v>22</v>
      </c>
      <c s="1852" t="s">
        <v>894</v>
      </c>
    </row>
    <row r="508" spans="1:9" ht="11.25" customHeight="1">
      <c r="A508" s="1852" t="s">
        <v>2247</v>
      </c>
      <c s="1852" t="s">
        <v>16</v>
      </c>
      <c s="1852" t="s">
        <v>3512</v>
      </c>
      <c s="1852" t="s">
        <v>3513</v>
      </c>
      <c s="1852" t="s">
        <v>3503</v>
      </c>
      <c s="1852" t="s">
        <v>2347</v>
      </c>
      <c s="1852" t="s">
        <v>22</v>
      </c>
      <c s="1852" t="s">
        <v>22</v>
      </c>
      <c s="1852" t="s">
        <v>894</v>
      </c>
    </row>
    <row r="509" spans="1:9" ht="11.25" customHeight="1">
      <c r="A509" s="1852" t="s">
        <v>2247</v>
      </c>
      <c s="1852" t="s">
        <v>16</v>
      </c>
      <c s="1852" t="s">
        <v>3518</v>
      </c>
      <c s="1852" t="s">
        <v>3519</v>
      </c>
      <c s="1852" t="s">
        <v>3520</v>
      </c>
      <c s="1852" t="s">
        <v>3521</v>
      </c>
      <c s="1852" t="s">
        <v>3522</v>
      </c>
      <c s="1852" t="s">
        <v>22</v>
      </c>
      <c s="1852" t="s">
        <v>894</v>
      </c>
    </row>
    <row r="510" spans="1:9" ht="11.25" customHeight="1">
      <c r="A510" s="1852" t="s">
        <v>2247</v>
      </c>
      <c s="1852" t="s">
        <v>16</v>
      </c>
      <c s="1852" t="s">
        <v>3523</v>
      </c>
      <c s="1852" t="s">
        <v>3524</v>
      </c>
      <c s="1852" t="s">
        <v>3520</v>
      </c>
      <c s="1852" t="s">
        <v>2559</v>
      </c>
      <c s="1852" t="s">
        <v>22</v>
      </c>
      <c s="1852" t="s">
        <v>22</v>
      </c>
      <c s="1852" t="s">
        <v>894</v>
      </c>
    </row>
    <row r="511" spans="1:9" ht="11.25" customHeight="1">
      <c r="A511" s="1852" t="s">
        <v>2247</v>
      </c>
      <c s="1852" t="s">
        <v>16</v>
      </c>
      <c s="1852" t="s">
        <v>3525</v>
      </c>
      <c s="1852" t="s">
        <v>3526</v>
      </c>
      <c s="1852" t="s">
        <v>3520</v>
      </c>
      <c s="1852" t="s">
        <v>3527</v>
      </c>
      <c s="1852" t="s">
        <v>3528</v>
      </c>
      <c s="1852" t="s">
        <v>22</v>
      </c>
      <c s="1852" t="s">
        <v>894</v>
      </c>
    </row>
    <row r="512" spans="1:9" ht="11.25" customHeight="1">
      <c r="A512" s="1852" t="s">
        <v>2247</v>
      </c>
      <c s="1852" t="s">
        <v>16</v>
      </c>
      <c s="1852" t="s">
        <v>3534</v>
      </c>
      <c s="1852" t="s">
        <v>3535</v>
      </c>
      <c s="1852" t="s">
        <v>3536</v>
      </c>
      <c s="1852" t="s">
        <v>3537</v>
      </c>
      <c s="1852" t="s">
        <v>3538</v>
      </c>
      <c s="1852" t="s">
        <v>22</v>
      </c>
      <c s="1852" t="s">
        <v>894</v>
      </c>
    </row>
    <row r="513" spans="1:9" ht="11.25" customHeight="1">
      <c r="A513" s="1852" t="s">
        <v>2247</v>
      </c>
      <c s="1852" t="s">
        <v>16</v>
      </c>
      <c s="1852" t="s">
        <v>3539</v>
      </c>
      <c s="1852" t="s">
        <v>3540</v>
      </c>
      <c s="1852" t="s">
        <v>2943</v>
      </c>
      <c s="1852" t="s">
        <v>3541</v>
      </c>
      <c s="1852" t="s">
        <v>22</v>
      </c>
      <c s="1852" t="s">
        <v>22</v>
      </c>
      <c s="1852" t="s">
        <v>894</v>
      </c>
    </row>
    <row r="514" spans="1:9" ht="11.25" customHeight="1">
      <c r="A514" s="1852" t="s">
        <v>2247</v>
      </c>
      <c s="1852" t="s">
        <v>16</v>
      </c>
      <c s="1852" t="s">
        <v>3542</v>
      </c>
      <c s="1852" t="s">
        <v>3543</v>
      </c>
      <c s="1852" t="s">
        <v>3001</v>
      </c>
      <c s="1852" t="s">
        <v>2448</v>
      </c>
      <c s="1852" t="s">
        <v>3544</v>
      </c>
      <c s="1852" t="s">
        <v>22</v>
      </c>
      <c s="1852" t="s">
        <v>894</v>
      </c>
    </row>
    <row r="515" spans="1:9" ht="11.25" customHeight="1">
      <c r="A515" s="1852" t="s">
        <v>2247</v>
      </c>
      <c s="1852" t="s">
        <v>16</v>
      </c>
      <c s="1852" t="s">
        <v>3545</v>
      </c>
      <c s="1852" t="s">
        <v>3546</v>
      </c>
      <c s="1852" t="s">
        <v>3001</v>
      </c>
      <c s="1852" t="s">
        <v>3547</v>
      </c>
      <c s="1852" t="s">
        <v>3548</v>
      </c>
      <c s="1852" t="s">
        <v>22</v>
      </c>
      <c s="1852" t="s">
        <v>894</v>
      </c>
    </row>
    <row r="516" spans="1:9" ht="11.25" customHeight="1">
      <c r="A516" s="1852" t="s">
        <v>2247</v>
      </c>
      <c s="1852" t="s">
        <v>16</v>
      </c>
      <c s="1852" t="s">
        <v>3553</v>
      </c>
      <c s="1852" t="s">
        <v>3554</v>
      </c>
      <c s="1852" t="s">
        <v>3271</v>
      </c>
      <c s="1852" t="s">
        <v>3555</v>
      </c>
      <c s="1852" t="s">
        <v>3273</v>
      </c>
      <c s="1852" t="s">
        <v>22</v>
      </c>
      <c s="1852" t="s">
        <v>894</v>
      </c>
    </row>
    <row r="517" spans="1:9" ht="11.25" customHeight="1">
      <c r="A517" s="1852" t="s">
        <v>2247</v>
      </c>
      <c s="1852" t="s">
        <v>16</v>
      </c>
      <c s="1852" t="s">
        <v>3556</v>
      </c>
      <c s="1852" t="s">
        <v>3557</v>
      </c>
      <c s="1852" t="s">
        <v>2859</v>
      </c>
      <c s="1852" t="s">
        <v>2373</v>
      </c>
      <c s="1852" t="s">
        <v>22</v>
      </c>
      <c s="1852" t="s">
        <v>22</v>
      </c>
      <c s="1852" t="s">
        <v>894</v>
      </c>
    </row>
    <row r="518" spans="1:9" ht="11.25" customHeight="1">
      <c r="A518" s="1852" t="s">
        <v>2247</v>
      </c>
      <c s="1852" t="s">
        <v>16</v>
      </c>
      <c s="1852" t="s">
        <v>3561</v>
      </c>
      <c s="1852" t="s">
        <v>3562</v>
      </c>
      <c s="1852" t="s">
        <v>3520</v>
      </c>
      <c s="1852" t="s">
        <v>2797</v>
      </c>
      <c s="1852" t="s">
        <v>22</v>
      </c>
      <c s="1852" t="s">
        <v>22</v>
      </c>
      <c s="1852" t="s">
        <v>894</v>
      </c>
    </row>
    <row r="519" spans="1:9" ht="11.25" customHeight="1">
      <c r="A519" s="1852" t="s">
        <v>2247</v>
      </c>
      <c s="1852" t="s">
        <v>16</v>
      </c>
      <c s="1852" t="s">
        <v>3563</v>
      </c>
      <c s="1852" t="s">
        <v>3564</v>
      </c>
      <c s="1852" t="s">
        <v>3520</v>
      </c>
      <c s="1852" t="s">
        <v>3565</v>
      </c>
      <c s="1852" t="s">
        <v>3566</v>
      </c>
      <c s="1852" t="s">
        <v>22</v>
      </c>
      <c s="1852" t="s">
        <v>894</v>
      </c>
    </row>
    <row r="520" spans="1:9" ht="11.25" customHeight="1">
      <c r="A520" s="1852" t="s">
        <v>2247</v>
      </c>
      <c s="1852" t="s">
        <v>16</v>
      </c>
      <c s="1852" t="s">
        <v>3567</v>
      </c>
      <c s="1852" t="s">
        <v>3568</v>
      </c>
      <c s="1852" t="s">
        <v>2376</v>
      </c>
      <c s="1852" t="s">
        <v>2800</v>
      </c>
      <c s="1852" t="s">
        <v>22</v>
      </c>
      <c s="1852" t="s">
        <v>22</v>
      </c>
      <c s="1852" t="s">
        <v>894</v>
      </c>
    </row>
    <row r="521" spans="1:9" ht="11.25" customHeight="1">
      <c r="A521" s="1852" t="s">
        <v>2247</v>
      </c>
      <c s="1852" t="s">
        <v>16</v>
      </c>
      <c s="1852" t="s">
        <v>3569</v>
      </c>
      <c s="1852" t="s">
        <v>3570</v>
      </c>
      <c s="1852" t="s">
        <v>3001</v>
      </c>
      <c s="1852" t="s">
        <v>2453</v>
      </c>
      <c s="1852" t="s">
        <v>3571</v>
      </c>
      <c s="1852" t="s">
        <v>22</v>
      </c>
      <c s="1852" t="s">
        <v>894</v>
      </c>
    </row>
    <row r="522" spans="1:9" ht="11.25" customHeight="1">
      <c r="A522" s="1852" t="s">
        <v>2247</v>
      </c>
      <c s="1852" t="s">
        <v>16</v>
      </c>
      <c s="1852" t="s">
        <v>3577</v>
      </c>
      <c s="1852" t="s">
        <v>3578</v>
      </c>
      <c s="1852" t="s">
        <v>3579</v>
      </c>
      <c s="1852" t="s">
        <v>2847</v>
      </c>
      <c s="1852" t="s">
        <v>22</v>
      </c>
      <c s="1852" t="s">
        <v>22</v>
      </c>
      <c s="1852" t="s">
        <v>894</v>
      </c>
    </row>
    <row r="523" spans="1:9" ht="11.25" customHeight="1">
      <c r="A523" s="1852" t="s">
        <v>2247</v>
      </c>
      <c s="1852" t="s">
        <v>16</v>
      </c>
      <c s="1852" t="s">
        <v>3584</v>
      </c>
      <c s="1852" t="s">
        <v>3585</v>
      </c>
      <c s="1852" t="s">
        <v>3430</v>
      </c>
      <c s="1852" t="s">
        <v>3586</v>
      </c>
      <c s="1852" t="s">
        <v>3587</v>
      </c>
      <c s="1852" t="s">
        <v>22</v>
      </c>
      <c s="1852" t="s">
        <v>854</v>
      </c>
    </row>
    <row r="524" spans="1:9" ht="11.25" customHeight="1">
      <c r="A524" s="1852" t="s">
        <v>2247</v>
      </c>
      <c s="1852" t="s">
        <v>16</v>
      </c>
      <c s="1852" t="s">
        <v>3588</v>
      </c>
      <c s="1852" t="s">
        <v>3589</v>
      </c>
      <c s="1852" t="s">
        <v>3590</v>
      </c>
      <c s="1852" t="s">
        <v>3591</v>
      </c>
      <c s="1852" t="s">
        <v>22</v>
      </c>
      <c s="1852" t="s">
        <v>22</v>
      </c>
      <c s="1852" t="s">
        <v>854</v>
      </c>
    </row>
    <row r="525" spans="1:9" ht="11.25" customHeight="1">
      <c r="A525" s="1852" t="s">
        <v>2247</v>
      </c>
      <c s="1852" t="s">
        <v>16</v>
      </c>
      <c s="1852" t="s">
        <v>3592</v>
      </c>
      <c s="1852" t="s">
        <v>3593</v>
      </c>
      <c s="1852" t="s">
        <v>3594</v>
      </c>
      <c s="1852" t="s">
        <v>2281</v>
      </c>
      <c s="1852" t="s">
        <v>3595</v>
      </c>
      <c s="1852" t="s">
        <v>22</v>
      </c>
      <c s="1852" t="s">
        <v>854</v>
      </c>
    </row>
    <row r="526" spans="1:9" ht="11.25" customHeight="1">
      <c r="A526" s="1852" t="s">
        <v>2247</v>
      </c>
      <c s="1852" t="s">
        <v>16</v>
      </c>
      <c s="1852" t="s">
        <v>22</v>
      </c>
      <c s="1852" t="s">
        <v>2248</v>
      </c>
      <c s="1852" t="s">
        <v>2249</v>
      </c>
      <c s="1852" t="s">
        <v>2250</v>
      </c>
      <c s="1852" t="s">
        <v>22</v>
      </c>
      <c s="1852" t="s">
        <v>22</v>
      </c>
      <c s="1852" t="s">
        <v>854</v>
      </c>
    </row>
    <row r="527" spans="1:9" ht="11.25" customHeight="1">
      <c r="A527" s="1852" t="s">
        <v>2247</v>
      </c>
      <c s="1852" t="s">
        <v>16</v>
      </c>
      <c s="1852" t="s">
        <v>22</v>
      </c>
      <c s="1852" t="s">
        <v>2251</v>
      </c>
      <c s="1852" t="s">
        <v>2252</v>
      </c>
      <c s="1852" t="s">
        <v>2253</v>
      </c>
      <c s="1852" t="s">
        <v>22</v>
      </c>
      <c s="1852" t="s">
        <v>22</v>
      </c>
      <c s="1852" t="s">
        <v>854</v>
      </c>
    </row>
    <row r="528" spans="1:9" ht="11.25" customHeight="1">
      <c r="A528" s="1852" t="s">
        <v>2247</v>
      </c>
      <c s="1852" t="s">
        <v>16</v>
      </c>
      <c s="1852" t="s">
        <v>22</v>
      </c>
      <c s="1852" t="s">
        <v>2254</v>
      </c>
      <c s="1852" t="s">
        <v>2255</v>
      </c>
      <c s="1852" t="s">
        <v>2256</v>
      </c>
      <c s="1852" t="s">
        <v>22</v>
      </c>
      <c s="1852" t="s">
        <v>22</v>
      </c>
      <c s="1852" t="s">
        <v>854</v>
      </c>
    </row>
    <row r="529" spans="1:9" ht="11.25" customHeight="1">
      <c r="A529" s="1852" t="s">
        <v>2247</v>
      </c>
      <c s="1852" t="s">
        <v>16</v>
      </c>
      <c s="1852" t="s">
        <v>22</v>
      </c>
      <c s="1852" t="s">
        <v>2257</v>
      </c>
      <c s="1852" t="s">
        <v>2258</v>
      </c>
      <c s="1852" t="s">
        <v>2259</v>
      </c>
      <c s="1852" t="s">
        <v>22</v>
      </c>
      <c s="1852" t="s">
        <v>22</v>
      </c>
      <c s="1852" t="s">
        <v>854</v>
      </c>
    </row>
    <row r="530" spans="1:9" ht="11.25" customHeight="1">
      <c r="A530" s="1852" t="s">
        <v>2247</v>
      </c>
      <c s="1852" t="s">
        <v>16</v>
      </c>
      <c s="1852" t="s">
        <v>22</v>
      </c>
      <c s="1852" t="s">
        <v>2260</v>
      </c>
      <c s="1852" t="s">
        <v>2261</v>
      </c>
      <c s="1852" t="s">
        <v>2262</v>
      </c>
      <c s="1852" t="s">
        <v>22</v>
      </c>
      <c s="1852" t="s">
        <v>22</v>
      </c>
      <c s="1852" t="s">
        <v>854</v>
      </c>
    </row>
    <row r="531" spans="1:9" ht="11.25" customHeight="1">
      <c r="A531" s="1852" t="s">
        <v>2247</v>
      </c>
      <c s="1852" t="s">
        <v>16</v>
      </c>
      <c s="1852" t="s">
        <v>22</v>
      </c>
      <c s="1852" t="s">
        <v>2263</v>
      </c>
      <c s="1852" t="s">
        <v>2264</v>
      </c>
      <c s="1852" t="s">
        <v>2265</v>
      </c>
      <c s="1852" t="s">
        <v>22</v>
      </c>
      <c s="1852" t="s">
        <v>22</v>
      </c>
      <c s="1852" t="s">
        <v>854</v>
      </c>
    </row>
    <row r="532" spans="1:9" ht="11.25" customHeight="1">
      <c r="A532" s="1852" t="s">
        <v>2247</v>
      </c>
      <c s="1852" t="s">
        <v>16</v>
      </c>
      <c s="1852" t="s">
        <v>2269</v>
      </c>
      <c s="1852" t="s">
        <v>2270</v>
      </c>
      <c s="1852" t="s">
        <v>2271</v>
      </c>
      <c s="1852" t="s">
        <v>2272</v>
      </c>
      <c s="1852" t="s">
        <v>2273</v>
      </c>
      <c s="1852" t="s">
        <v>22</v>
      </c>
      <c s="1852" t="s">
        <v>854</v>
      </c>
    </row>
    <row r="533" spans="1:9" ht="11.25" customHeight="1">
      <c r="A533" s="1852" t="s">
        <v>2247</v>
      </c>
      <c s="1852" t="s">
        <v>16</v>
      </c>
      <c s="1852" t="s">
        <v>3596</v>
      </c>
      <c s="1852" t="s">
        <v>3597</v>
      </c>
      <c s="1852" t="s">
        <v>3598</v>
      </c>
      <c s="1852" t="s">
        <v>2636</v>
      </c>
      <c s="1852" t="s">
        <v>3599</v>
      </c>
      <c s="1852" t="s">
        <v>22</v>
      </c>
      <c s="1852" t="s">
        <v>854</v>
      </c>
    </row>
    <row r="534" spans="1:9" ht="11.25" customHeight="1">
      <c r="A534" s="1852" t="s">
        <v>2247</v>
      </c>
      <c s="1852" t="s">
        <v>16</v>
      </c>
      <c s="1852" t="s">
        <v>3600</v>
      </c>
      <c s="1852" t="s">
        <v>3601</v>
      </c>
      <c s="1852" t="s">
        <v>3602</v>
      </c>
      <c s="1852" t="s">
        <v>2291</v>
      </c>
      <c s="1852" t="s">
        <v>22</v>
      </c>
      <c s="1852" t="s">
        <v>22</v>
      </c>
      <c s="1852" t="s">
        <v>854</v>
      </c>
    </row>
    <row r="535" spans="1:9" ht="11.25" customHeight="1">
      <c r="A535" s="1852" t="s">
        <v>2247</v>
      </c>
      <c s="1852" t="s">
        <v>16</v>
      </c>
      <c s="1852" t="s">
        <v>3603</v>
      </c>
      <c s="1852" t="s">
        <v>3604</v>
      </c>
      <c s="1852" t="s">
        <v>3605</v>
      </c>
      <c s="1852" t="s">
        <v>3606</v>
      </c>
      <c s="1852" t="s">
        <v>3607</v>
      </c>
      <c s="1852" t="s">
        <v>22</v>
      </c>
      <c s="1852" t="s">
        <v>854</v>
      </c>
    </row>
    <row r="536" spans="1:9" ht="11.25" customHeight="1">
      <c r="A536" s="1852" t="s">
        <v>2247</v>
      </c>
      <c s="1852" t="s">
        <v>16</v>
      </c>
      <c s="1852" t="s">
        <v>3608</v>
      </c>
      <c s="1852" t="s">
        <v>3609</v>
      </c>
      <c s="1852" t="s">
        <v>3610</v>
      </c>
      <c s="1852" t="s">
        <v>3176</v>
      </c>
      <c s="1852" t="s">
        <v>3611</v>
      </c>
      <c s="1852" t="s">
        <v>22</v>
      </c>
      <c s="1852" t="s">
        <v>854</v>
      </c>
    </row>
    <row r="537" spans="1:9" ht="11.25" customHeight="1">
      <c r="A537" s="1852" t="s">
        <v>2247</v>
      </c>
      <c s="1852" t="s">
        <v>16</v>
      </c>
      <c s="1852" t="s">
        <v>3612</v>
      </c>
      <c s="1852" t="s">
        <v>3613</v>
      </c>
      <c s="1852" t="s">
        <v>3614</v>
      </c>
      <c s="1852" t="s">
        <v>2366</v>
      </c>
      <c s="1852" t="s">
        <v>22</v>
      </c>
      <c s="1852" t="s">
        <v>22</v>
      </c>
      <c s="1852" t="s">
        <v>854</v>
      </c>
    </row>
    <row r="538" spans="1:9" ht="11.25" customHeight="1">
      <c r="A538" s="1852" t="s">
        <v>2247</v>
      </c>
      <c s="1852" t="s">
        <v>16</v>
      </c>
      <c s="1852" t="s">
        <v>3615</v>
      </c>
      <c s="1852" t="s">
        <v>3616</v>
      </c>
      <c s="1852" t="s">
        <v>3617</v>
      </c>
      <c s="1852" t="s">
        <v>2511</v>
      </c>
      <c s="1852" t="s">
        <v>3618</v>
      </c>
      <c s="1852" t="s">
        <v>22</v>
      </c>
      <c s="1852" t="s">
        <v>854</v>
      </c>
    </row>
    <row r="539" spans="1:9" ht="11.25" customHeight="1">
      <c r="A539" s="1852" t="s">
        <v>2247</v>
      </c>
      <c s="1852" t="s">
        <v>16</v>
      </c>
      <c s="1852" t="s">
        <v>2308</v>
      </c>
      <c s="1852" t="s">
        <v>2309</v>
      </c>
      <c s="1852" t="s">
        <v>2310</v>
      </c>
      <c s="1852" t="s">
        <v>2256</v>
      </c>
      <c s="1852" t="s">
        <v>22</v>
      </c>
      <c s="1852" t="s">
        <v>22</v>
      </c>
      <c s="1852" t="s">
        <v>854</v>
      </c>
    </row>
    <row r="540" spans="1:9" ht="11.25" customHeight="1">
      <c r="A540" s="1852" t="s">
        <v>2247</v>
      </c>
      <c s="1852" t="s">
        <v>16</v>
      </c>
      <c s="1852" t="s">
        <v>3619</v>
      </c>
      <c s="1852" t="s">
        <v>3620</v>
      </c>
      <c s="1852" t="s">
        <v>3621</v>
      </c>
      <c s="1852" t="s">
        <v>51</v>
      </c>
      <c s="1852" t="s">
        <v>3622</v>
      </c>
      <c s="1852" t="s">
        <v>22</v>
      </c>
      <c s="1852" t="s">
        <v>854</v>
      </c>
    </row>
    <row r="541" spans="1:9" ht="11.25" customHeight="1">
      <c r="A541" s="1852" t="s">
        <v>2247</v>
      </c>
      <c s="1852" t="s">
        <v>16</v>
      </c>
      <c s="1852" t="s">
        <v>3623</v>
      </c>
      <c s="1852" t="s">
        <v>3624</v>
      </c>
      <c s="1852" t="s">
        <v>3625</v>
      </c>
      <c s="1852" t="s">
        <v>2403</v>
      </c>
      <c s="1852" t="s">
        <v>22</v>
      </c>
      <c s="1852" t="s">
        <v>22</v>
      </c>
      <c s="1852" t="s">
        <v>854</v>
      </c>
    </row>
    <row r="542" spans="1:9" ht="11.25" customHeight="1">
      <c r="A542" s="1852" t="s">
        <v>2247</v>
      </c>
      <c s="1852" t="s">
        <v>16</v>
      </c>
      <c s="1852" t="s">
        <v>2324</v>
      </c>
      <c s="1852" t="s">
        <v>2325</v>
      </c>
      <c s="1852" t="s">
        <v>2326</v>
      </c>
      <c s="1852" t="s">
        <v>2272</v>
      </c>
      <c s="1852" t="s">
        <v>2327</v>
      </c>
      <c s="1852" t="s">
        <v>22</v>
      </c>
      <c s="1852" t="s">
        <v>854</v>
      </c>
    </row>
    <row r="543" spans="1:9" ht="11.25" customHeight="1">
      <c r="A543" s="1852" t="s">
        <v>2247</v>
      </c>
      <c s="1852" t="s">
        <v>16</v>
      </c>
      <c s="1852" t="s">
        <v>2335</v>
      </c>
      <c s="1852" t="s">
        <v>2336</v>
      </c>
      <c s="1852" t="s">
        <v>2337</v>
      </c>
      <c s="1852" t="s">
        <v>2338</v>
      </c>
      <c s="1852" t="s">
        <v>2339</v>
      </c>
      <c s="1852" t="s">
        <v>22</v>
      </c>
      <c s="1852" t="s">
        <v>854</v>
      </c>
    </row>
    <row r="544" spans="1:9" ht="11.25" customHeight="1">
      <c r="A544" s="1852" t="s">
        <v>2247</v>
      </c>
      <c s="1852" t="s">
        <v>16</v>
      </c>
      <c s="1852" t="s">
        <v>3626</v>
      </c>
      <c s="1852" t="s">
        <v>3627</v>
      </c>
      <c s="1852" t="s">
        <v>3628</v>
      </c>
      <c s="1852" t="s">
        <v>2399</v>
      </c>
      <c s="1852" t="s">
        <v>3629</v>
      </c>
      <c s="1852" t="s">
        <v>22</v>
      </c>
      <c s="1852" t="s">
        <v>854</v>
      </c>
    </row>
    <row r="545" spans="1:9" ht="11.25" customHeight="1">
      <c r="A545" s="1852" t="s">
        <v>2247</v>
      </c>
      <c s="1852" t="s">
        <v>16</v>
      </c>
      <c s="1852" t="s">
        <v>3630</v>
      </c>
      <c s="1852" t="s">
        <v>3631</v>
      </c>
      <c s="1852" t="s">
        <v>3632</v>
      </c>
      <c s="1852" t="s">
        <v>2277</v>
      </c>
      <c s="1852" t="s">
        <v>3316</v>
      </c>
      <c s="1852" t="s">
        <v>22</v>
      </c>
      <c s="1852" t="s">
        <v>854</v>
      </c>
    </row>
    <row r="546" spans="1:9" ht="11.25" customHeight="1">
      <c r="A546" s="1852" t="s">
        <v>2247</v>
      </c>
      <c s="1852" t="s">
        <v>16</v>
      </c>
      <c s="1852" t="s">
        <v>2354</v>
      </c>
      <c s="1852" t="s">
        <v>2355</v>
      </c>
      <c s="1852" t="s">
        <v>2356</v>
      </c>
      <c s="1852" t="s">
        <v>2357</v>
      </c>
      <c s="1852" t="s">
        <v>2358</v>
      </c>
      <c s="1852" t="s">
        <v>22</v>
      </c>
      <c s="1852" t="s">
        <v>854</v>
      </c>
    </row>
    <row r="547" spans="1:9" ht="11.25" customHeight="1">
      <c r="A547" s="1852" t="s">
        <v>2247</v>
      </c>
      <c s="1852" t="s">
        <v>16</v>
      </c>
      <c s="1852" t="s">
        <v>3633</v>
      </c>
      <c s="1852" t="s">
        <v>3634</v>
      </c>
      <c s="1852" t="s">
        <v>3635</v>
      </c>
      <c s="1852" t="s">
        <v>3636</v>
      </c>
      <c s="1852" t="s">
        <v>3637</v>
      </c>
      <c s="1852" t="s">
        <v>22</v>
      </c>
      <c s="1852" t="s">
        <v>854</v>
      </c>
    </row>
    <row r="548" spans="1:9" ht="11.25" customHeight="1">
      <c r="A548" s="1852" t="s">
        <v>2247</v>
      </c>
      <c s="1852" t="s">
        <v>16</v>
      </c>
      <c s="1852" t="s">
        <v>3638</v>
      </c>
      <c s="1852" t="s">
        <v>3634</v>
      </c>
      <c s="1852" t="s">
        <v>3639</v>
      </c>
      <c s="1852" t="s">
        <v>2366</v>
      </c>
      <c s="1852" t="s">
        <v>22</v>
      </c>
      <c s="1852" t="s">
        <v>22</v>
      </c>
      <c s="1852" t="s">
        <v>854</v>
      </c>
    </row>
    <row r="549" spans="1:9" ht="11.25" customHeight="1">
      <c r="A549" s="1852" t="s">
        <v>2247</v>
      </c>
      <c s="1852" t="s">
        <v>16</v>
      </c>
      <c s="1852" t="s">
        <v>3640</v>
      </c>
      <c s="1852" t="s">
        <v>3641</v>
      </c>
      <c s="1852" t="s">
        <v>3642</v>
      </c>
      <c s="1852" t="s">
        <v>2571</v>
      </c>
      <c s="1852" t="s">
        <v>3643</v>
      </c>
      <c s="1852" t="s">
        <v>22</v>
      </c>
      <c s="1852" t="s">
        <v>854</v>
      </c>
    </row>
    <row r="550" spans="1:9" ht="11.25" customHeight="1">
      <c r="A550" s="1852" t="s">
        <v>2247</v>
      </c>
      <c s="1852" t="s">
        <v>16</v>
      </c>
      <c s="1852" t="s">
        <v>2382</v>
      </c>
      <c s="1852" t="s">
        <v>2383</v>
      </c>
      <c s="1852" t="s">
        <v>2384</v>
      </c>
      <c s="1852" t="s">
        <v>2366</v>
      </c>
      <c s="1852" t="s">
        <v>22</v>
      </c>
      <c s="1852" t="s">
        <v>22</v>
      </c>
      <c s="1852" t="s">
        <v>854</v>
      </c>
    </row>
    <row r="551" spans="1:9" ht="11.25" customHeight="1">
      <c r="A551" s="1852" t="s">
        <v>2247</v>
      </c>
      <c s="1852" t="s">
        <v>16</v>
      </c>
      <c s="1852" t="s">
        <v>3644</v>
      </c>
      <c s="1852" t="s">
        <v>3645</v>
      </c>
      <c s="1852" t="s">
        <v>3646</v>
      </c>
      <c s="1852" t="s">
        <v>2584</v>
      </c>
      <c s="1852" t="s">
        <v>22</v>
      </c>
      <c s="1852" t="s">
        <v>22</v>
      </c>
      <c s="1852" t="s">
        <v>854</v>
      </c>
    </row>
    <row r="552" spans="1:9" ht="11.25" customHeight="1">
      <c r="A552" s="1852" t="s">
        <v>2247</v>
      </c>
      <c s="1852" t="s">
        <v>16</v>
      </c>
      <c s="1852" t="s">
        <v>3647</v>
      </c>
      <c s="1852" t="s">
        <v>3648</v>
      </c>
      <c s="1852" t="s">
        <v>3649</v>
      </c>
      <c s="1852" t="s">
        <v>3650</v>
      </c>
      <c s="1852" t="s">
        <v>22</v>
      </c>
      <c s="1852" t="s">
        <v>22</v>
      </c>
      <c s="1852" t="s">
        <v>854</v>
      </c>
    </row>
    <row r="553" spans="1:9" ht="11.25" customHeight="1">
      <c r="A553" s="1852" t="s">
        <v>2247</v>
      </c>
      <c s="1852" t="s">
        <v>16</v>
      </c>
      <c s="1852" t="s">
        <v>2416</v>
      </c>
      <c s="1852" t="s">
        <v>2417</v>
      </c>
      <c s="1852" t="s">
        <v>2418</v>
      </c>
      <c s="1852" t="s">
        <v>2419</v>
      </c>
      <c s="1852" t="s">
        <v>22</v>
      </c>
      <c s="1852" t="s">
        <v>22</v>
      </c>
      <c s="1852" t="s">
        <v>854</v>
      </c>
    </row>
    <row r="554" spans="1:9" ht="11.25" customHeight="1">
      <c r="A554" s="1852" t="s">
        <v>2247</v>
      </c>
      <c s="1852" t="s">
        <v>16</v>
      </c>
      <c s="1852" t="s">
        <v>2423</v>
      </c>
      <c s="1852" t="s">
        <v>2424</v>
      </c>
      <c s="1852" t="s">
        <v>2425</v>
      </c>
      <c s="1852" t="s">
        <v>2314</v>
      </c>
      <c s="1852" t="s">
        <v>22</v>
      </c>
      <c s="1852" t="s">
        <v>22</v>
      </c>
      <c s="1852" t="s">
        <v>854</v>
      </c>
    </row>
    <row r="555" spans="1:9" ht="11.25" customHeight="1">
      <c r="A555" s="1852" t="s">
        <v>2247</v>
      </c>
      <c s="1852" t="s">
        <v>16</v>
      </c>
      <c s="1852" t="s">
        <v>3651</v>
      </c>
      <c s="1852" t="s">
        <v>3652</v>
      </c>
      <c s="1852" t="s">
        <v>3520</v>
      </c>
      <c s="1852" t="s">
        <v>2256</v>
      </c>
      <c s="1852" t="s">
        <v>3653</v>
      </c>
      <c s="1852" t="s">
        <v>22</v>
      </c>
      <c s="1852" t="s">
        <v>854</v>
      </c>
    </row>
    <row r="556" spans="1:9" ht="11.25" customHeight="1">
      <c r="A556" s="1852" t="s">
        <v>2247</v>
      </c>
      <c s="1852" t="s">
        <v>16</v>
      </c>
      <c s="1852" t="s">
        <v>3654</v>
      </c>
      <c s="1852" t="s">
        <v>3655</v>
      </c>
      <c s="1852" t="s">
        <v>3656</v>
      </c>
      <c s="1852" t="s">
        <v>2259</v>
      </c>
      <c s="1852" t="s">
        <v>3657</v>
      </c>
      <c s="1852" t="s">
        <v>22</v>
      </c>
      <c s="1852" t="s">
        <v>854</v>
      </c>
    </row>
    <row r="557" spans="1:9" ht="11.25" customHeight="1">
      <c r="A557" s="1852" t="s">
        <v>2247</v>
      </c>
      <c s="1852" t="s">
        <v>16</v>
      </c>
      <c s="1852" t="s">
        <v>2439</v>
      </c>
      <c s="1852" t="s">
        <v>2440</v>
      </c>
      <c s="1852" t="s">
        <v>2441</v>
      </c>
      <c s="1852" t="s">
        <v>2281</v>
      </c>
      <c s="1852" t="s">
        <v>2442</v>
      </c>
      <c s="1852" t="s">
        <v>22</v>
      </c>
      <c s="1852" t="s">
        <v>854</v>
      </c>
    </row>
    <row r="558" spans="1:9" ht="11.25" customHeight="1">
      <c r="A558" s="1852" t="s">
        <v>2247</v>
      </c>
      <c s="1852" t="s">
        <v>16</v>
      </c>
      <c s="1852" t="s">
        <v>3658</v>
      </c>
      <c s="1852" t="s">
        <v>3659</v>
      </c>
      <c s="1852" t="s">
        <v>3660</v>
      </c>
      <c s="1852" t="s">
        <v>2262</v>
      </c>
      <c s="1852" t="s">
        <v>22</v>
      </c>
      <c s="1852" t="s">
        <v>22</v>
      </c>
      <c s="1852" t="s">
        <v>854</v>
      </c>
    </row>
    <row r="559" spans="1:9" ht="11.25" customHeight="1">
      <c r="A559" s="1852" t="s">
        <v>2247</v>
      </c>
      <c s="1852" t="s">
        <v>16</v>
      </c>
      <c s="1852" t="s">
        <v>3661</v>
      </c>
      <c s="1852" t="s">
        <v>3662</v>
      </c>
      <c s="1852" t="s">
        <v>3663</v>
      </c>
      <c s="1852" t="s">
        <v>3664</v>
      </c>
      <c s="1852" t="s">
        <v>3665</v>
      </c>
      <c s="1852" t="s">
        <v>22</v>
      </c>
      <c s="1852" t="s">
        <v>854</v>
      </c>
    </row>
    <row r="560" spans="1:9" ht="11.25" customHeight="1">
      <c r="A560" s="1852" t="s">
        <v>2247</v>
      </c>
      <c s="1852" t="s">
        <v>16</v>
      </c>
      <c s="1852" t="s">
        <v>3666</v>
      </c>
      <c s="1852" t="s">
        <v>3667</v>
      </c>
      <c s="1852" t="s">
        <v>3668</v>
      </c>
      <c s="1852" t="s">
        <v>2691</v>
      </c>
      <c s="1852" t="s">
        <v>3669</v>
      </c>
      <c s="1852" t="s">
        <v>22</v>
      </c>
      <c s="1852" t="s">
        <v>854</v>
      </c>
    </row>
    <row r="561" spans="1:9" ht="11.25" customHeight="1">
      <c r="A561" s="1852" t="s">
        <v>2247</v>
      </c>
      <c s="1852" t="s">
        <v>16</v>
      </c>
      <c s="1852" t="s">
        <v>2455</v>
      </c>
      <c s="1852" t="s">
        <v>2456</v>
      </c>
      <c s="1852" t="s">
        <v>2457</v>
      </c>
      <c s="1852" t="s">
        <v>2458</v>
      </c>
      <c s="1852" t="s">
        <v>2459</v>
      </c>
      <c s="1852" t="s">
        <v>22</v>
      </c>
      <c s="1852" t="s">
        <v>854</v>
      </c>
    </row>
    <row r="562" spans="1:9" ht="11.25" customHeight="1">
      <c r="A562" s="1852" t="s">
        <v>2247</v>
      </c>
      <c s="1852" t="s">
        <v>16</v>
      </c>
      <c s="1852" t="s">
        <v>2460</v>
      </c>
      <c s="1852" t="s">
        <v>2461</v>
      </c>
      <c s="1852" t="s">
        <v>2462</v>
      </c>
      <c s="1852" t="s">
        <v>2463</v>
      </c>
      <c s="1852" t="s">
        <v>22</v>
      </c>
      <c s="1852" t="s">
        <v>22</v>
      </c>
      <c s="1852" t="s">
        <v>854</v>
      </c>
    </row>
    <row r="563" spans="1:9" ht="11.25" customHeight="1">
      <c r="A563" s="1852" t="s">
        <v>2247</v>
      </c>
      <c s="1852" t="s">
        <v>16</v>
      </c>
      <c s="1852" t="s">
        <v>3670</v>
      </c>
      <c s="1852" t="s">
        <v>3671</v>
      </c>
      <c s="1852" t="s">
        <v>3672</v>
      </c>
      <c s="1852" t="s">
        <v>2746</v>
      </c>
      <c s="1852" t="s">
        <v>3673</v>
      </c>
      <c s="1852" t="s">
        <v>22</v>
      </c>
      <c s="1852" t="s">
        <v>854</v>
      </c>
    </row>
    <row r="564" spans="1:9" ht="11.25" customHeight="1">
      <c r="A564" s="1852" t="s">
        <v>2247</v>
      </c>
      <c s="1852" t="s">
        <v>16</v>
      </c>
      <c s="1852" t="s">
        <v>3674</v>
      </c>
      <c s="1852" t="s">
        <v>3675</v>
      </c>
      <c s="1852" t="s">
        <v>3676</v>
      </c>
      <c s="1852" t="s">
        <v>51</v>
      </c>
      <c s="1852" t="s">
        <v>3677</v>
      </c>
      <c s="1852" t="s">
        <v>22</v>
      </c>
      <c s="1852" t="s">
        <v>854</v>
      </c>
    </row>
    <row r="565" spans="1:9" ht="11.25" customHeight="1">
      <c r="A565" s="1852" t="s">
        <v>2247</v>
      </c>
      <c s="1852" t="s">
        <v>16</v>
      </c>
      <c s="1852" t="s">
        <v>13</v>
      </c>
      <c s="1852" t="s">
        <v>46</v>
      </c>
      <c s="1852" t="s">
        <v>49</v>
      </c>
      <c s="1852" t="s">
        <v>51</v>
      </c>
      <c s="1852" t="s">
        <v>3678</v>
      </c>
      <c s="1852" t="s">
        <v>22</v>
      </c>
      <c s="1852" t="s">
        <v>854</v>
      </c>
    </row>
    <row r="566" spans="1:9" ht="11.25" customHeight="1">
      <c r="A566" s="1852" t="s">
        <v>2247</v>
      </c>
      <c s="1852" t="s">
        <v>16</v>
      </c>
      <c s="1852" t="s">
        <v>3679</v>
      </c>
      <c s="1852" t="s">
        <v>3680</v>
      </c>
      <c s="1852" t="s">
        <v>3681</v>
      </c>
      <c s="1852" t="s">
        <v>2250</v>
      </c>
      <c s="1852" t="s">
        <v>22</v>
      </c>
      <c s="1852" t="s">
        <v>22</v>
      </c>
      <c s="1852" t="s">
        <v>854</v>
      </c>
    </row>
    <row r="567" spans="1:9" ht="11.25" customHeight="1">
      <c r="A567" s="1852" t="s">
        <v>2247</v>
      </c>
      <c s="1852" t="s">
        <v>16</v>
      </c>
      <c s="1852" t="s">
        <v>22</v>
      </c>
      <c s="1852" t="s">
        <v>2493</v>
      </c>
      <c s="1852" t="s">
        <v>2494</v>
      </c>
      <c s="1852" t="s">
        <v>2277</v>
      </c>
      <c s="1852" t="s">
        <v>22</v>
      </c>
      <c s="1852" t="s">
        <v>22</v>
      </c>
      <c s="1852" t="s">
        <v>854</v>
      </c>
    </row>
    <row r="568" spans="1:9" ht="11.25" customHeight="1">
      <c r="A568" s="1852" t="s">
        <v>2247</v>
      </c>
      <c s="1852" t="s">
        <v>16</v>
      </c>
      <c s="1852" t="s">
        <v>3682</v>
      </c>
      <c s="1852" t="s">
        <v>3683</v>
      </c>
      <c s="1852" t="s">
        <v>3684</v>
      </c>
      <c s="1852" t="s">
        <v>2477</v>
      </c>
      <c s="1852" t="s">
        <v>3685</v>
      </c>
      <c s="1852" t="s">
        <v>22</v>
      </c>
      <c s="1852" t="s">
        <v>854</v>
      </c>
    </row>
    <row r="569" spans="1:9" ht="11.25" customHeight="1">
      <c r="A569" s="1852" t="s">
        <v>2247</v>
      </c>
      <c s="1852" t="s">
        <v>16</v>
      </c>
      <c s="1852" t="s">
        <v>2502</v>
      </c>
      <c s="1852" t="s">
        <v>2503</v>
      </c>
      <c s="1852" t="s">
        <v>2504</v>
      </c>
      <c s="1852" t="s">
        <v>2347</v>
      </c>
      <c s="1852" t="s">
        <v>22</v>
      </c>
      <c s="1852" t="s">
        <v>22</v>
      </c>
      <c s="1852" t="s">
        <v>854</v>
      </c>
    </row>
    <row r="570" spans="1:9" ht="11.25" customHeight="1">
      <c r="A570" s="1852" t="s">
        <v>2247</v>
      </c>
      <c s="1852" t="s">
        <v>16</v>
      </c>
      <c s="1852" t="s">
        <v>3686</v>
      </c>
      <c s="1852" t="s">
        <v>3687</v>
      </c>
      <c s="1852" t="s">
        <v>3688</v>
      </c>
      <c s="1852" t="s">
        <v>2524</v>
      </c>
      <c s="1852" t="s">
        <v>22</v>
      </c>
      <c s="1852" t="s">
        <v>22</v>
      </c>
      <c s="1852" t="s">
        <v>854</v>
      </c>
    </row>
    <row r="571" spans="1:9" ht="11.25" customHeight="1">
      <c r="A571" s="1852" t="s">
        <v>2247</v>
      </c>
      <c s="1852" t="s">
        <v>16</v>
      </c>
      <c s="1852" t="s">
        <v>3689</v>
      </c>
      <c s="1852" t="s">
        <v>3690</v>
      </c>
      <c s="1852" t="s">
        <v>3691</v>
      </c>
      <c s="1852" t="s">
        <v>2524</v>
      </c>
      <c s="1852" t="s">
        <v>22</v>
      </c>
      <c s="1852" t="s">
        <v>22</v>
      </c>
      <c s="1852" t="s">
        <v>854</v>
      </c>
    </row>
    <row r="572" spans="1:9" ht="11.25" customHeight="1">
      <c r="A572" s="1852" t="s">
        <v>2247</v>
      </c>
      <c s="1852" t="s">
        <v>16</v>
      </c>
      <c s="1852" t="s">
        <v>3692</v>
      </c>
      <c s="1852" t="s">
        <v>3693</v>
      </c>
      <c s="1852" t="s">
        <v>3694</v>
      </c>
      <c s="1852" t="s">
        <v>2259</v>
      </c>
      <c s="1852" t="s">
        <v>3695</v>
      </c>
      <c s="1852" t="s">
        <v>22</v>
      </c>
      <c s="1852" t="s">
        <v>854</v>
      </c>
    </row>
    <row r="573" spans="1:9" ht="11.25" customHeight="1">
      <c r="A573" s="1852" t="s">
        <v>2247</v>
      </c>
      <c s="1852" t="s">
        <v>16</v>
      </c>
      <c s="1852" t="s">
        <v>2505</v>
      </c>
      <c s="1852" t="s">
        <v>2506</v>
      </c>
      <c s="1852" t="s">
        <v>2507</v>
      </c>
      <c s="1852" t="s">
        <v>2314</v>
      </c>
      <c s="1852" t="s">
        <v>22</v>
      </c>
      <c s="1852" t="s">
        <v>22</v>
      </c>
      <c s="1852" t="s">
        <v>854</v>
      </c>
    </row>
    <row r="574" spans="1:9" ht="11.25" customHeight="1">
      <c r="A574" s="1852" t="s">
        <v>2247</v>
      </c>
      <c s="1852" t="s">
        <v>16</v>
      </c>
      <c s="1852" t="s">
        <v>3696</v>
      </c>
      <c s="1852" t="s">
        <v>3697</v>
      </c>
      <c s="1852" t="s">
        <v>3698</v>
      </c>
      <c s="1852" t="s">
        <v>2524</v>
      </c>
      <c s="1852" t="s">
        <v>22</v>
      </c>
      <c s="1852" t="s">
        <v>22</v>
      </c>
      <c s="1852" t="s">
        <v>854</v>
      </c>
    </row>
    <row r="575" spans="1:9" ht="11.25" customHeight="1">
      <c r="A575" s="1852" t="s">
        <v>2247</v>
      </c>
      <c s="1852" t="s">
        <v>16</v>
      </c>
      <c s="1852" t="s">
        <v>3699</v>
      </c>
      <c s="1852" t="s">
        <v>3700</v>
      </c>
      <c s="1852" t="s">
        <v>3701</v>
      </c>
      <c s="1852" t="s">
        <v>2262</v>
      </c>
      <c s="1852" t="s">
        <v>22</v>
      </c>
      <c s="1852" t="s">
        <v>22</v>
      </c>
      <c s="1852" t="s">
        <v>854</v>
      </c>
    </row>
    <row r="576" spans="1:9" ht="11.25" customHeight="1">
      <c r="A576" s="1852" t="s">
        <v>2247</v>
      </c>
      <c s="1852" t="s">
        <v>16</v>
      </c>
      <c s="1852" t="s">
        <v>3702</v>
      </c>
      <c s="1852" t="s">
        <v>3703</v>
      </c>
      <c s="1852" t="s">
        <v>3704</v>
      </c>
      <c s="1852" t="s">
        <v>3606</v>
      </c>
      <c s="1852" t="s">
        <v>3705</v>
      </c>
      <c s="1852" t="s">
        <v>22</v>
      </c>
      <c s="1852" t="s">
        <v>854</v>
      </c>
    </row>
    <row r="577" spans="1:9" ht="11.25" customHeight="1">
      <c r="A577" s="1852" t="s">
        <v>2247</v>
      </c>
      <c s="1852" t="s">
        <v>16</v>
      </c>
      <c s="1852" t="s">
        <v>3706</v>
      </c>
      <c s="1852" t="s">
        <v>3707</v>
      </c>
      <c s="1852" t="s">
        <v>3708</v>
      </c>
      <c s="1852" t="s">
        <v>2591</v>
      </c>
      <c s="1852" t="s">
        <v>22</v>
      </c>
      <c s="1852" t="s">
        <v>22</v>
      </c>
      <c s="1852" t="s">
        <v>854</v>
      </c>
    </row>
    <row r="578" spans="1:9" ht="11.25" customHeight="1">
      <c r="A578" s="1852" t="s">
        <v>2247</v>
      </c>
      <c s="1852" t="s">
        <v>16</v>
      </c>
      <c s="1852" t="s">
        <v>3709</v>
      </c>
      <c s="1852" t="s">
        <v>3710</v>
      </c>
      <c s="1852" t="s">
        <v>3711</v>
      </c>
      <c s="1852" t="s">
        <v>2723</v>
      </c>
      <c s="1852" t="s">
        <v>22</v>
      </c>
      <c s="1852" t="s">
        <v>22</v>
      </c>
      <c s="1852" t="s">
        <v>854</v>
      </c>
    </row>
    <row r="579" spans="1:9" ht="11.25" customHeight="1">
      <c r="A579" s="1852" t="s">
        <v>2247</v>
      </c>
      <c s="1852" t="s">
        <v>16</v>
      </c>
      <c s="1852" t="s">
        <v>2516</v>
      </c>
      <c s="1852" t="s">
        <v>2517</v>
      </c>
      <c s="1852" t="s">
        <v>2518</v>
      </c>
      <c s="1852" t="s">
        <v>2519</v>
      </c>
      <c s="1852" t="s">
        <v>2520</v>
      </c>
      <c s="1852" t="s">
        <v>22</v>
      </c>
      <c s="1852" t="s">
        <v>854</v>
      </c>
    </row>
    <row r="580" spans="1:9" ht="11.25" customHeight="1">
      <c r="A580" s="1852" t="s">
        <v>2247</v>
      </c>
      <c s="1852" t="s">
        <v>16</v>
      </c>
      <c s="1852" t="s">
        <v>2521</v>
      </c>
      <c s="1852" t="s">
        <v>2522</v>
      </c>
      <c s="1852" t="s">
        <v>2523</v>
      </c>
      <c s="1852" t="s">
        <v>2524</v>
      </c>
      <c s="1852" t="s">
        <v>2520</v>
      </c>
      <c s="1852" t="s">
        <v>22</v>
      </c>
      <c s="1852" t="s">
        <v>854</v>
      </c>
    </row>
    <row r="581" spans="1:9" ht="11.25" customHeight="1">
      <c r="A581" s="1852" t="s">
        <v>2247</v>
      </c>
      <c s="1852" t="s">
        <v>16</v>
      </c>
      <c s="1852" t="s">
        <v>3712</v>
      </c>
      <c s="1852" t="s">
        <v>3713</v>
      </c>
      <c s="1852" t="s">
        <v>3714</v>
      </c>
      <c s="1852" t="s">
        <v>2343</v>
      </c>
      <c s="1852" t="s">
        <v>3715</v>
      </c>
      <c s="1852" t="s">
        <v>22</v>
      </c>
      <c s="1852" t="s">
        <v>854</v>
      </c>
    </row>
    <row r="582" spans="1:9" ht="11.25" customHeight="1">
      <c r="A582" s="1852" t="s">
        <v>2247</v>
      </c>
      <c s="1852" t="s">
        <v>16</v>
      </c>
      <c s="1852" t="s">
        <v>3716</v>
      </c>
      <c s="1852" t="s">
        <v>3717</v>
      </c>
      <c s="1852" t="s">
        <v>3718</v>
      </c>
      <c s="1852" t="s">
        <v>2511</v>
      </c>
      <c s="1852" t="s">
        <v>3474</v>
      </c>
      <c s="1852" t="s">
        <v>22</v>
      </c>
      <c s="1852" t="s">
        <v>854</v>
      </c>
    </row>
    <row r="583" spans="1:9" ht="11.25" customHeight="1">
      <c r="A583" s="1852" t="s">
        <v>2247</v>
      </c>
      <c s="1852" t="s">
        <v>16</v>
      </c>
      <c s="1852" t="s">
        <v>3719</v>
      </c>
      <c s="1852" t="s">
        <v>3720</v>
      </c>
      <c s="1852" t="s">
        <v>3721</v>
      </c>
      <c s="1852" t="s">
        <v>2511</v>
      </c>
      <c s="1852" t="s">
        <v>3722</v>
      </c>
      <c s="1852" t="s">
        <v>22</v>
      </c>
      <c s="1852" t="s">
        <v>854</v>
      </c>
    </row>
    <row r="584" spans="1:9" ht="11.25" customHeight="1">
      <c r="A584" s="1852" t="s">
        <v>2247</v>
      </c>
      <c s="1852" t="s">
        <v>16</v>
      </c>
      <c s="1852" t="s">
        <v>3723</v>
      </c>
      <c s="1852" t="s">
        <v>3724</v>
      </c>
      <c s="1852" t="s">
        <v>3725</v>
      </c>
      <c s="1852" t="s">
        <v>575</v>
      </c>
      <c s="1852" t="s">
        <v>3726</v>
      </c>
      <c s="1852" t="s">
        <v>22</v>
      </c>
      <c s="1852" t="s">
        <v>854</v>
      </c>
    </row>
    <row r="585" spans="1:9" ht="11.25" customHeight="1">
      <c r="A585" s="1852" t="s">
        <v>2247</v>
      </c>
      <c s="1852" t="s">
        <v>16</v>
      </c>
      <c s="1852" t="s">
        <v>2529</v>
      </c>
      <c s="1852" t="s">
        <v>2530</v>
      </c>
      <c s="1852" t="s">
        <v>2531</v>
      </c>
      <c s="1852" t="s">
        <v>575</v>
      </c>
      <c s="1852" t="s">
        <v>2532</v>
      </c>
      <c s="1852" t="s">
        <v>22</v>
      </c>
      <c s="1852" t="s">
        <v>854</v>
      </c>
    </row>
    <row r="586" spans="1:9" ht="11.25" customHeight="1">
      <c r="A586" s="1852" t="s">
        <v>2247</v>
      </c>
      <c s="1852" t="s">
        <v>16</v>
      </c>
      <c s="1852" t="s">
        <v>3727</v>
      </c>
      <c s="1852" t="s">
        <v>3728</v>
      </c>
      <c s="1852" t="s">
        <v>3729</v>
      </c>
      <c s="1852" t="s">
        <v>575</v>
      </c>
      <c s="1852" t="s">
        <v>3730</v>
      </c>
      <c s="1852" t="s">
        <v>22</v>
      </c>
      <c s="1852" t="s">
        <v>854</v>
      </c>
    </row>
    <row r="587" spans="1:9" ht="11.25" customHeight="1">
      <c r="A587" s="1852" t="s">
        <v>2247</v>
      </c>
      <c s="1852" t="s">
        <v>16</v>
      </c>
      <c s="1852" t="s">
        <v>3731</v>
      </c>
      <c s="1852" t="s">
        <v>3732</v>
      </c>
      <c s="1852" t="s">
        <v>3733</v>
      </c>
      <c s="1852" t="s">
        <v>575</v>
      </c>
      <c s="1852" t="s">
        <v>3734</v>
      </c>
      <c s="1852" t="s">
        <v>22</v>
      </c>
      <c s="1852" t="s">
        <v>854</v>
      </c>
    </row>
    <row r="588" spans="1:9" ht="11.25" customHeight="1">
      <c r="A588" s="1852" t="s">
        <v>2247</v>
      </c>
      <c s="1852" t="s">
        <v>16</v>
      </c>
      <c s="1852" t="s">
        <v>3735</v>
      </c>
      <c s="1852" t="s">
        <v>3736</v>
      </c>
      <c s="1852" t="s">
        <v>3737</v>
      </c>
      <c s="1852" t="s">
        <v>575</v>
      </c>
      <c s="1852" t="s">
        <v>3738</v>
      </c>
      <c s="1852" t="s">
        <v>22</v>
      </c>
      <c s="1852" t="s">
        <v>854</v>
      </c>
    </row>
    <row r="589" spans="1:9" ht="11.25" customHeight="1">
      <c r="A589" s="1852" t="s">
        <v>2247</v>
      </c>
      <c s="1852" t="s">
        <v>16</v>
      </c>
      <c s="1852" t="s">
        <v>2541</v>
      </c>
      <c s="1852" t="s">
        <v>2542</v>
      </c>
      <c s="1852" t="s">
        <v>2543</v>
      </c>
      <c s="1852" t="s">
        <v>575</v>
      </c>
      <c s="1852" t="s">
        <v>2544</v>
      </c>
      <c s="1852" t="s">
        <v>22</v>
      </c>
      <c s="1852" t="s">
        <v>854</v>
      </c>
    </row>
    <row r="590" spans="1:9" ht="11.25" customHeight="1">
      <c r="A590" s="1852" t="s">
        <v>2247</v>
      </c>
      <c s="1852" t="s">
        <v>16</v>
      </c>
      <c s="1852" t="s">
        <v>3739</v>
      </c>
      <c s="1852" t="s">
        <v>3740</v>
      </c>
      <c s="1852" t="s">
        <v>3741</v>
      </c>
      <c s="1852" t="s">
        <v>2281</v>
      </c>
      <c s="1852" t="s">
        <v>3742</v>
      </c>
      <c s="1852" t="s">
        <v>22</v>
      </c>
      <c s="1852" t="s">
        <v>854</v>
      </c>
    </row>
    <row r="591" spans="1:9" ht="11.25" customHeight="1">
      <c r="A591" s="1852" t="s">
        <v>2247</v>
      </c>
      <c s="1852" t="s">
        <v>16</v>
      </c>
      <c s="1852" t="s">
        <v>3743</v>
      </c>
      <c s="1852" t="s">
        <v>3744</v>
      </c>
      <c s="1852" t="s">
        <v>3745</v>
      </c>
      <c s="1852" t="s">
        <v>3746</v>
      </c>
      <c s="1852" t="s">
        <v>22</v>
      </c>
      <c s="1852" t="s">
        <v>22</v>
      </c>
      <c s="1852" t="s">
        <v>854</v>
      </c>
    </row>
    <row r="592" spans="1:9" ht="11.25" customHeight="1">
      <c r="A592" s="1852" t="s">
        <v>2247</v>
      </c>
      <c s="1852" t="s">
        <v>16</v>
      </c>
      <c s="1852" t="s">
        <v>3747</v>
      </c>
      <c s="1852" t="s">
        <v>3748</v>
      </c>
      <c s="1852" t="s">
        <v>3749</v>
      </c>
      <c s="1852" t="s">
        <v>2281</v>
      </c>
      <c s="1852" t="s">
        <v>3595</v>
      </c>
      <c s="1852" t="s">
        <v>22</v>
      </c>
      <c s="1852" t="s">
        <v>854</v>
      </c>
    </row>
    <row r="593" spans="1:9" ht="11.25" customHeight="1">
      <c r="A593" s="1852" t="s">
        <v>2247</v>
      </c>
      <c s="1852" t="s">
        <v>16</v>
      </c>
      <c s="1852" t="s">
        <v>3750</v>
      </c>
      <c s="1852" t="s">
        <v>3751</v>
      </c>
      <c s="1852" t="s">
        <v>3752</v>
      </c>
      <c s="1852" t="s">
        <v>2723</v>
      </c>
      <c s="1852" t="s">
        <v>22</v>
      </c>
      <c s="1852" t="s">
        <v>22</v>
      </c>
      <c s="1852" t="s">
        <v>854</v>
      </c>
    </row>
    <row r="594" spans="1:9" ht="11.25" customHeight="1">
      <c r="A594" s="1852" t="s">
        <v>2247</v>
      </c>
      <c s="1852" t="s">
        <v>16</v>
      </c>
      <c s="1852" t="s">
        <v>3753</v>
      </c>
      <c s="1852" t="s">
        <v>3754</v>
      </c>
      <c s="1852" t="s">
        <v>3755</v>
      </c>
      <c s="1852" t="s">
        <v>2636</v>
      </c>
      <c s="1852" t="s">
        <v>3756</v>
      </c>
      <c s="1852" t="s">
        <v>22</v>
      </c>
      <c s="1852" t="s">
        <v>854</v>
      </c>
    </row>
    <row r="595" spans="1:9" ht="11.25" customHeight="1">
      <c r="A595" s="1852" t="s">
        <v>2247</v>
      </c>
      <c s="1852" t="s">
        <v>16</v>
      </c>
      <c s="1852" t="s">
        <v>3757</v>
      </c>
      <c s="1852" t="s">
        <v>3758</v>
      </c>
      <c s="1852" t="s">
        <v>3759</v>
      </c>
      <c s="1852" t="s">
        <v>2636</v>
      </c>
      <c s="1852" t="s">
        <v>3760</v>
      </c>
      <c s="1852" t="s">
        <v>22</v>
      </c>
      <c s="1852" t="s">
        <v>854</v>
      </c>
    </row>
    <row r="596" spans="1:9" ht="11.25" customHeight="1">
      <c r="A596" s="1852" t="s">
        <v>2247</v>
      </c>
      <c s="1852" t="s">
        <v>16</v>
      </c>
      <c s="1852" t="s">
        <v>3761</v>
      </c>
      <c s="1852" t="s">
        <v>3758</v>
      </c>
      <c s="1852" t="s">
        <v>3762</v>
      </c>
      <c s="1852" t="s">
        <v>2988</v>
      </c>
      <c s="1852" t="s">
        <v>3763</v>
      </c>
      <c s="1852" t="s">
        <v>22</v>
      </c>
      <c s="1852" t="s">
        <v>854</v>
      </c>
    </row>
    <row r="597" spans="1:9" ht="11.25" customHeight="1">
      <c r="A597" s="1852" t="s">
        <v>2247</v>
      </c>
      <c s="1852" t="s">
        <v>16</v>
      </c>
      <c s="1852" t="s">
        <v>3764</v>
      </c>
      <c s="1852" t="s">
        <v>3765</v>
      </c>
      <c s="1852" t="s">
        <v>3766</v>
      </c>
      <c s="1852" t="s">
        <v>2988</v>
      </c>
      <c s="1852" t="s">
        <v>3767</v>
      </c>
      <c s="1852" t="s">
        <v>22</v>
      </c>
      <c s="1852" t="s">
        <v>854</v>
      </c>
    </row>
    <row r="598" spans="1:9" ht="11.25" customHeight="1">
      <c r="A598" s="1852" t="s">
        <v>2247</v>
      </c>
      <c s="1852" t="s">
        <v>16</v>
      </c>
      <c s="1852" t="s">
        <v>3768</v>
      </c>
      <c s="1852" t="s">
        <v>3769</v>
      </c>
      <c s="1852" t="s">
        <v>3770</v>
      </c>
      <c s="1852" t="s">
        <v>2620</v>
      </c>
      <c s="1852" t="s">
        <v>3771</v>
      </c>
      <c s="1852" t="s">
        <v>22</v>
      </c>
      <c s="1852" t="s">
        <v>854</v>
      </c>
    </row>
    <row r="599" spans="1:9" ht="11.25" customHeight="1">
      <c r="A599" s="1852" t="s">
        <v>2247</v>
      </c>
      <c s="1852" t="s">
        <v>16</v>
      </c>
      <c s="1852" t="s">
        <v>3772</v>
      </c>
      <c s="1852" t="s">
        <v>3773</v>
      </c>
      <c s="1852" t="s">
        <v>3774</v>
      </c>
      <c s="1852" t="s">
        <v>2366</v>
      </c>
      <c s="1852" t="s">
        <v>2918</v>
      </c>
      <c s="1852" t="s">
        <v>22</v>
      </c>
      <c s="1852" t="s">
        <v>854</v>
      </c>
    </row>
    <row r="600" spans="1:9" ht="11.25" customHeight="1">
      <c r="A600" s="1852" t="s">
        <v>2247</v>
      </c>
      <c s="1852" t="s">
        <v>16</v>
      </c>
      <c s="1852" t="s">
        <v>3775</v>
      </c>
      <c s="1852" t="s">
        <v>3776</v>
      </c>
      <c s="1852" t="s">
        <v>3777</v>
      </c>
      <c s="1852" t="s">
        <v>2366</v>
      </c>
      <c s="1852" t="s">
        <v>3778</v>
      </c>
      <c s="1852" t="s">
        <v>22</v>
      </c>
      <c s="1852" t="s">
        <v>854</v>
      </c>
    </row>
    <row r="601" spans="1:9" ht="11.25" customHeight="1">
      <c r="A601" s="1852" t="s">
        <v>2247</v>
      </c>
      <c s="1852" t="s">
        <v>16</v>
      </c>
      <c s="1852" t="s">
        <v>3779</v>
      </c>
      <c s="1852" t="s">
        <v>3780</v>
      </c>
      <c s="1852" t="s">
        <v>3781</v>
      </c>
      <c s="1852" t="s">
        <v>3636</v>
      </c>
      <c s="1852" t="s">
        <v>3782</v>
      </c>
      <c s="1852" t="s">
        <v>22</v>
      </c>
      <c s="1852" t="s">
        <v>854</v>
      </c>
    </row>
    <row r="602" spans="1:9" ht="11.25" customHeight="1">
      <c r="A602" s="1852" t="s">
        <v>2247</v>
      </c>
      <c s="1852" t="s">
        <v>16</v>
      </c>
      <c s="1852" t="s">
        <v>3783</v>
      </c>
      <c s="1852" t="s">
        <v>3784</v>
      </c>
      <c s="1852" t="s">
        <v>3785</v>
      </c>
      <c s="1852" t="s">
        <v>2366</v>
      </c>
      <c s="1852" t="s">
        <v>3786</v>
      </c>
      <c s="1852" t="s">
        <v>22</v>
      </c>
      <c s="1852" t="s">
        <v>854</v>
      </c>
    </row>
    <row r="603" spans="1:9" ht="11.25" customHeight="1">
      <c r="A603" s="1852" t="s">
        <v>2247</v>
      </c>
      <c s="1852" t="s">
        <v>16</v>
      </c>
      <c s="1852" t="s">
        <v>3787</v>
      </c>
      <c s="1852" t="s">
        <v>3788</v>
      </c>
      <c s="1852" t="s">
        <v>3789</v>
      </c>
      <c s="1852" t="s">
        <v>2467</v>
      </c>
      <c s="1852" t="s">
        <v>3790</v>
      </c>
      <c s="1852" t="s">
        <v>22</v>
      </c>
      <c s="1852" t="s">
        <v>854</v>
      </c>
    </row>
    <row r="604" spans="1:9" ht="11.25" customHeight="1">
      <c r="A604" s="1852" t="s">
        <v>2247</v>
      </c>
      <c s="1852" t="s">
        <v>16</v>
      </c>
      <c s="1852" t="s">
        <v>3791</v>
      </c>
      <c s="1852" t="s">
        <v>3792</v>
      </c>
      <c s="1852" t="s">
        <v>3793</v>
      </c>
      <c s="1852" t="s">
        <v>2467</v>
      </c>
      <c s="1852" t="s">
        <v>3794</v>
      </c>
      <c s="1852" t="s">
        <v>22</v>
      </c>
      <c s="1852" t="s">
        <v>854</v>
      </c>
    </row>
    <row r="605" spans="1:9" ht="11.25" customHeight="1">
      <c r="A605" s="1852" t="s">
        <v>2247</v>
      </c>
      <c s="1852" t="s">
        <v>16</v>
      </c>
      <c s="1852" t="s">
        <v>3795</v>
      </c>
      <c s="1852" t="s">
        <v>3796</v>
      </c>
      <c s="1852" t="s">
        <v>3797</v>
      </c>
      <c s="1852" t="s">
        <v>2366</v>
      </c>
      <c s="1852" t="s">
        <v>22</v>
      </c>
      <c s="1852" t="s">
        <v>22</v>
      </c>
      <c s="1852" t="s">
        <v>854</v>
      </c>
    </row>
    <row r="606" spans="1:9" ht="11.25" customHeight="1">
      <c r="A606" s="1852" t="s">
        <v>2247</v>
      </c>
      <c s="1852" t="s">
        <v>16</v>
      </c>
      <c s="1852" t="s">
        <v>3798</v>
      </c>
      <c s="1852" t="s">
        <v>3799</v>
      </c>
      <c s="1852" t="s">
        <v>3800</v>
      </c>
      <c s="1852" t="s">
        <v>2467</v>
      </c>
      <c s="1852" t="s">
        <v>3801</v>
      </c>
      <c s="1852" t="s">
        <v>22</v>
      </c>
      <c s="1852" t="s">
        <v>854</v>
      </c>
    </row>
    <row r="607" spans="1:9" ht="11.25" customHeight="1">
      <c r="A607" s="1852" t="s">
        <v>2247</v>
      </c>
      <c s="1852" t="s">
        <v>16</v>
      </c>
      <c s="1852" t="s">
        <v>3802</v>
      </c>
      <c s="1852" t="s">
        <v>3803</v>
      </c>
      <c s="1852" t="s">
        <v>3804</v>
      </c>
      <c s="1852" t="s">
        <v>2366</v>
      </c>
      <c s="1852" t="s">
        <v>2879</v>
      </c>
      <c s="1852" t="s">
        <v>22</v>
      </c>
      <c s="1852" t="s">
        <v>854</v>
      </c>
    </row>
    <row r="608" spans="1:9" ht="11.25" customHeight="1">
      <c r="A608" s="1852" t="s">
        <v>2247</v>
      </c>
      <c s="1852" t="s">
        <v>16</v>
      </c>
      <c s="1852" t="s">
        <v>3805</v>
      </c>
      <c s="1852" t="s">
        <v>3806</v>
      </c>
      <c s="1852" t="s">
        <v>3807</v>
      </c>
      <c s="1852" t="s">
        <v>2366</v>
      </c>
      <c s="1852" t="s">
        <v>22</v>
      </c>
      <c s="1852" t="s">
        <v>22</v>
      </c>
      <c s="1852" t="s">
        <v>854</v>
      </c>
    </row>
    <row r="609" spans="1:9" ht="11.25" customHeight="1">
      <c r="A609" s="1852" t="s">
        <v>2247</v>
      </c>
      <c s="1852" t="s">
        <v>16</v>
      </c>
      <c s="1852" t="s">
        <v>3808</v>
      </c>
      <c s="1852" t="s">
        <v>3809</v>
      </c>
      <c s="1852" t="s">
        <v>3810</v>
      </c>
      <c s="1852" t="s">
        <v>2988</v>
      </c>
      <c s="1852" t="s">
        <v>3811</v>
      </c>
      <c s="1852" t="s">
        <v>22</v>
      </c>
      <c s="1852" t="s">
        <v>854</v>
      </c>
    </row>
    <row r="610" spans="1:9" ht="11.25" customHeight="1">
      <c r="A610" s="1852" t="s">
        <v>2247</v>
      </c>
      <c s="1852" t="s">
        <v>16</v>
      </c>
      <c s="1852" t="s">
        <v>3812</v>
      </c>
      <c s="1852" t="s">
        <v>3813</v>
      </c>
      <c s="1852" t="s">
        <v>3814</v>
      </c>
      <c s="1852" t="s">
        <v>3815</v>
      </c>
      <c s="1852" t="s">
        <v>3816</v>
      </c>
      <c s="1852" t="s">
        <v>22</v>
      </c>
      <c s="1852" t="s">
        <v>854</v>
      </c>
    </row>
    <row r="611" spans="1:9" ht="11.25" customHeight="1">
      <c r="A611" s="1852" t="s">
        <v>2247</v>
      </c>
      <c s="1852" t="s">
        <v>16</v>
      </c>
      <c s="1852" t="s">
        <v>3817</v>
      </c>
      <c s="1852" t="s">
        <v>3818</v>
      </c>
      <c s="1852" t="s">
        <v>3819</v>
      </c>
      <c s="1852" t="s">
        <v>2399</v>
      </c>
      <c s="1852" t="s">
        <v>3820</v>
      </c>
      <c s="1852" t="s">
        <v>22</v>
      </c>
      <c s="1852" t="s">
        <v>854</v>
      </c>
    </row>
    <row r="612" spans="1:9" ht="11.25" customHeight="1">
      <c r="A612" s="1852" t="s">
        <v>2247</v>
      </c>
      <c s="1852" t="s">
        <v>16</v>
      </c>
      <c s="1852" t="s">
        <v>3821</v>
      </c>
      <c s="1852" t="s">
        <v>3822</v>
      </c>
      <c s="1852" t="s">
        <v>3823</v>
      </c>
      <c s="1852" t="s">
        <v>2746</v>
      </c>
      <c s="1852" t="s">
        <v>3824</v>
      </c>
      <c s="1852" t="s">
        <v>22</v>
      </c>
      <c s="1852" t="s">
        <v>854</v>
      </c>
    </row>
    <row r="613" spans="1:9" ht="11.25" customHeight="1">
      <c r="A613" s="1852" t="s">
        <v>2247</v>
      </c>
      <c s="1852" t="s">
        <v>16</v>
      </c>
      <c s="1852" t="s">
        <v>3825</v>
      </c>
      <c s="1852" t="s">
        <v>3826</v>
      </c>
      <c s="1852" t="s">
        <v>3827</v>
      </c>
      <c s="1852" t="s">
        <v>2746</v>
      </c>
      <c s="1852" t="s">
        <v>3828</v>
      </c>
      <c s="1852" t="s">
        <v>22</v>
      </c>
      <c s="1852" t="s">
        <v>854</v>
      </c>
    </row>
    <row r="614" spans="1:9" ht="11.25" customHeight="1">
      <c r="A614" s="1852" t="s">
        <v>2247</v>
      </c>
      <c s="1852" t="s">
        <v>16</v>
      </c>
      <c s="1852" t="s">
        <v>3829</v>
      </c>
      <c s="1852" t="s">
        <v>3830</v>
      </c>
      <c s="1852" t="s">
        <v>3831</v>
      </c>
      <c s="1852" t="s">
        <v>3815</v>
      </c>
      <c s="1852" t="s">
        <v>3832</v>
      </c>
      <c s="1852" t="s">
        <v>22</v>
      </c>
      <c s="1852" t="s">
        <v>854</v>
      </c>
    </row>
    <row r="615" spans="1:9" ht="11.25" customHeight="1">
      <c r="A615" s="1852" t="s">
        <v>2247</v>
      </c>
      <c s="1852" t="s">
        <v>16</v>
      </c>
      <c s="1852" t="s">
        <v>3833</v>
      </c>
      <c s="1852" t="s">
        <v>3834</v>
      </c>
      <c s="1852" t="s">
        <v>3835</v>
      </c>
      <c s="1852" t="s">
        <v>2746</v>
      </c>
      <c s="1852" t="s">
        <v>3836</v>
      </c>
      <c s="1852" t="s">
        <v>22</v>
      </c>
      <c s="1852" t="s">
        <v>854</v>
      </c>
    </row>
    <row r="616" spans="1:9" ht="11.25" customHeight="1">
      <c r="A616" s="1852" t="s">
        <v>2247</v>
      </c>
      <c s="1852" t="s">
        <v>16</v>
      </c>
      <c s="1852" t="s">
        <v>3837</v>
      </c>
      <c s="1852" t="s">
        <v>3838</v>
      </c>
      <c s="1852" t="s">
        <v>3839</v>
      </c>
      <c s="1852" t="s">
        <v>2746</v>
      </c>
      <c s="1852" t="s">
        <v>3824</v>
      </c>
      <c s="1852" t="s">
        <v>22</v>
      </c>
      <c s="1852" t="s">
        <v>854</v>
      </c>
    </row>
    <row r="617" spans="1:9" ht="11.25" customHeight="1">
      <c r="A617" s="1852" t="s">
        <v>2247</v>
      </c>
      <c s="1852" t="s">
        <v>16</v>
      </c>
      <c s="1852" t="s">
        <v>3840</v>
      </c>
      <c s="1852" t="s">
        <v>3841</v>
      </c>
      <c s="1852" t="s">
        <v>3842</v>
      </c>
      <c s="1852" t="s">
        <v>2746</v>
      </c>
      <c s="1852" t="s">
        <v>3824</v>
      </c>
      <c s="1852" t="s">
        <v>22</v>
      </c>
      <c s="1852" t="s">
        <v>854</v>
      </c>
    </row>
    <row r="618" spans="1:9" ht="11.25" customHeight="1">
      <c r="A618" s="1852" t="s">
        <v>2247</v>
      </c>
      <c s="1852" t="s">
        <v>16</v>
      </c>
      <c s="1852" t="s">
        <v>3843</v>
      </c>
      <c s="1852" t="s">
        <v>3844</v>
      </c>
      <c s="1852" t="s">
        <v>3845</v>
      </c>
      <c s="1852" t="s">
        <v>2399</v>
      </c>
      <c s="1852" t="s">
        <v>2922</v>
      </c>
      <c s="1852" t="s">
        <v>22</v>
      </c>
      <c s="1852" t="s">
        <v>854</v>
      </c>
    </row>
    <row r="619" spans="1:9" ht="11.25" customHeight="1">
      <c r="A619" s="1852" t="s">
        <v>2247</v>
      </c>
      <c s="1852" t="s">
        <v>16</v>
      </c>
      <c s="1852" t="s">
        <v>3846</v>
      </c>
      <c s="1852" t="s">
        <v>3847</v>
      </c>
      <c s="1852" t="s">
        <v>3848</v>
      </c>
      <c s="1852" t="s">
        <v>2620</v>
      </c>
      <c s="1852" t="s">
        <v>3849</v>
      </c>
      <c s="1852" t="s">
        <v>22</v>
      </c>
      <c s="1852" t="s">
        <v>854</v>
      </c>
    </row>
    <row r="620" spans="1:9" ht="11.25" customHeight="1">
      <c r="A620" s="1852" t="s">
        <v>2247</v>
      </c>
      <c s="1852" t="s">
        <v>16</v>
      </c>
      <c s="1852" t="s">
        <v>2568</v>
      </c>
      <c s="1852" t="s">
        <v>2569</v>
      </c>
      <c s="1852" t="s">
        <v>2570</v>
      </c>
      <c s="1852" t="s">
        <v>2571</v>
      </c>
      <c s="1852" t="s">
        <v>2572</v>
      </c>
      <c s="1852" t="s">
        <v>22</v>
      </c>
      <c s="1852" t="s">
        <v>854</v>
      </c>
    </row>
    <row r="621" spans="1:9" ht="11.25" customHeight="1">
      <c r="A621" s="1852" t="s">
        <v>2247</v>
      </c>
      <c s="1852" t="s">
        <v>16</v>
      </c>
      <c s="1852" t="s">
        <v>3850</v>
      </c>
      <c s="1852" t="s">
        <v>3851</v>
      </c>
      <c s="1852" t="s">
        <v>3852</v>
      </c>
      <c s="1852" t="s">
        <v>2571</v>
      </c>
      <c s="1852" t="s">
        <v>3853</v>
      </c>
      <c s="1852" t="s">
        <v>22</v>
      </c>
      <c s="1852" t="s">
        <v>854</v>
      </c>
    </row>
    <row r="622" spans="1:9" ht="11.25" customHeight="1">
      <c r="A622" s="1852" t="s">
        <v>2247</v>
      </c>
      <c s="1852" t="s">
        <v>16</v>
      </c>
      <c s="1852" t="s">
        <v>3854</v>
      </c>
      <c s="1852" t="s">
        <v>3855</v>
      </c>
      <c s="1852" t="s">
        <v>3856</v>
      </c>
      <c s="1852" t="s">
        <v>2571</v>
      </c>
      <c s="1852" t="s">
        <v>3853</v>
      </c>
      <c s="1852" t="s">
        <v>22</v>
      </c>
      <c s="1852" t="s">
        <v>854</v>
      </c>
    </row>
    <row r="623" spans="1:9" ht="11.25" customHeight="1">
      <c r="A623" s="1852" t="s">
        <v>2247</v>
      </c>
      <c s="1852" t="s">
        <v>16</v>
      </c>
      <c s="1852" t="s">
        <v>3857</v>
      </c>
      <c s="1852" t="s">
        <v>3858</v>
      </c>
      <c s="1852" t="s">
        <v>3859</v>
      </c>
      <c s="1852" t="s">
        <v>2571</v>
      </c>
      <c s="1852" t="s">
        <v>3860</v>
      </c>
      <c s="1852" t="s">
        <v>22</v>
      </c>
      <c s="1852" t="s">
        <v>854</v>
      </c>
    </row>
    <row r="624" spans="1:9" ht="11.25" customHeight="1">
      <c r="A624" s="1852" t="s">
        <v>2247</v>
      </c>
      <c s="1852" t="s">
        <v>16</v>
      </c>
      <c s="1852" t="s">
        <v>3861</v>
      </c>
      <c s="1852" t="s">
        <v>3862</v>
      </c>
      <c s="1852" t="s">
        <v>3863</v>
      </c>
      <c s="1852" t="s">
        <v>2659</v>
      </c>
      <c s="1852" t="s">
        <v>3864</v>
      </c>
      <c s="1852" t="s">
        <v>22</v>
      </c>
      <c s="1852" t="s">
        <v>854</v>
      </c>
    </row>
    <row r="625" spans="1:9" ht="11.25" customHeight="1">
      <c r="A625" s="1852" t="s">
        <v>2247</v>
      </c>
      <c s="1852" t="s">
        <v>16</v>
      </c>
      <c s="1852" t="s">
        <v>3865</v>
      </c>
      <c s="1852" t="s">
        <v>3866</v>
      </c>
      <c s="1852" t="s">
        <v>3867</v>
      </c>
      <c s="1852" t="s">
        <v>2511</v>
      </c>
      <c s="1852" t="s">
        <v>3868</v>
      </c>
      <c s="1852" t="s">
        <v>22</v>
      </c>
      <c s="1852" t="s">
        <v>854</v>
      </c>
    </row>
    <row r="626" spans="1:9" ht="11.25" customHeight="1">
      <c r="A626" s="1852" t="s">
        <v>2247</v>
      </c>
      <c s="1852" t="s">
        <v>16</v>
      </c>
      <c s="1852" t="s">
        <v>2581</v>
      </c>
      <c s="1852" t="s">
        <v>2582</v>
      </c>
      <c s="1852" t="s">
        <v>2583</v>
      </c>
      <c s="1852" t="s">
        <v>2584</v>
      </c>
      <c s="1852" t="s">
        <v>22</v>
      </c>
      <c s="1852" t="s">
        <v>22</v>
      </c>
      <c s="1852" t="s">
        <v>854</v>
      </c>
    </row>
    <row r="627" spans="1:9" ht="11.25" customHeight="1">
      <c r="A627" s="1852" t="s">
        <v>2247</v>
      </c>
      <c s="1852" t="s">
        <v>16</v>
      </c>
      <c s="1852" t="s">
        <v>2585</v>
      </c>
      <c s="1852" t="s">
        <v>2586</v>
      </c>
      <c s="1852" t="s">
        <v>2587</v>
      </c>
      <c s="1852" t="s">
        <v>2304</v>
      </c>
      <c s="1852" t="s">
        <v>22</v>
      </c>
      <c s="1852" t="s">
        <v>22</v>
      </c>
      <c s="1852" t="s">
        <v>854</v>
      </c>
    </row>
    <row r="628" spans="1:9" ht="11.25" customHeight="1">
      <c r="A628" s="1852" t="s">
        <v>2247</v>
      </c>
      <c s="1852" t="s">
        <v>16</v>
      </c>
      <c s="1852" t="s">
        <v>2588</v>
      </c>
      <c s="1852" t="s">
        <v>2589</v>
      </c>
      <c s="1852" t="s">
        <v>2590</v>
      </c>
      <c s="1852" t="s">
        <v>2591</v>
      </c>
      <c s="1852" t="s">
        <v>22</v>
      </c>
      <c s="1852" t="s">
        <v>22</v>
      </c>
      <c s="1852" t="s">
        <v>854</v>
      </c>
    </row>
    <row r="629" spans="1:9" ht="11.25" customHeight="1">
      <c r="A629" s="1852" t="s">
        <v>2247</v>
      </c>
      <c s="1852" t="s">
        <v>16</v>
      </c>
      <c s="1852" t="s">
        <v>3869</v>
      </c>
      <c s="1852" t="s">
        <v>3870</v>
      </c>
      <c s="1852" t="s">
        <v>3871</v>
      </c>
      <c s="1852" t="s">
        <v>2571</v>
      </c>
      <c s="1852" t="s">
        <v>3872</v>
      </c>
      <c s="1852" t="s">
        <v>22</v>
      </c>
      <c s="1852" t="s">
        <v>854</v>
      </c>
    </row>
    <row r="630" spans="1:9" ht="11.25" customHeight="1">
      <c r="A630" s="1852" t="s">
        <v>2247</v>
      </c>
      <c s="1852" t="s">
        <v>16</v>
      </c>
      <c s="1852" t="s">
        <v>3873</v>
      </c>
      <c s="1852" t="s">
        <v>3874</v>
      </c>
      <c s="1852" t="s">
        <v>3875</v>
      </c>
      <c s="1852" t="s">
        <v>2571</v>
      </c>
      <c s="1852" t="s">
        <v>3876</v>
      </c>
      <c s="1852" t="s">
        <v>22</v>
      </c>
      <c s="1852" t="s">
        <v>854</v>
      </c>
    </row>
    <row r="631" spans="1:9" ht="11.25" customHeight="1">
      <c r="A631" s="1852" t="s">
        <v>2247</v>
      </c>
      <c s="1852" t="s">
        <v>16</v>
      </c>
      <c s="1852" t="s">
        <v>3877</v>
      </c>
      <c s="1852" t="s">
        <v>3878</v>
      </c>
      <c s="1852" t="s">
        <v>3879</v>
      </c>
      <c s="1852" t="s">
        <v>2727</v>
      </c>
      <c s="1852" t="s">
        <v>22</v>
      </c>
      <c s="1852" t="s">
        <v>22</v>
      </c>
      <c s="1852" t="s">
        <v>854</v>
      </c>
    </row>
    <row r="632" spans="1:9" ht="11.25" customHeight="1">
      <c r="A632" s="1852" t="s">
        <v>2247</v>
      </c>
      <c s="1852" t="s">
        <v>16</v>
      </c>
      <c s="1852" t="s">
        <v>3880</v>
      </c>
      <c s="1852" t="s">
        <v>3881</v>
      </c>
      <c s="1852" t="s">
        <v>3882</v>
      </c>
      <c s="1852" t="s">
        <v>2571</v>
      </c>
      <c s="1852" t="s">
        <v>3883</v>
      </c>
      <c s="1852" t="s">
        <v>22</v>
      </c>
      <c s="1852" t="s">
        <v>854</v>
      </c>
    </row>
    <row r="633" spans="1:9" ht="11.25" customHeight="1">
      <c r="A633" s="1852" t="s">
        <v>2247</v>
      </c>
      <c s="1852" t="s">
        <v>16</v>
      </c>
      <c s="1852" t="s">
        <v>2592</v>
      </c>
      <c s="1852" t="s">
        <v>2593</v>
      </c>
      <c s="1852" t="s">
        <v>2594</v>
      </c>
      <c s="1852" t="s">
        <v>2595</v>
      </c>
      <c s="1852" t="s">
        <v>2596</v>
      </c>
      <c s="1852" t="s">
        <v>22</v>
      </c>
      <c s="1852" t="s">
        <v>854</v>
      </c>
    </row>
    <row r="634" spans="1:9" ht="11.25" customHeight="1">
      <c r="A634" s="1852" t="s">
        <v>2247</v>
      </c>
      <c s="1852" t="s">
        <v>16</v>
      </c>
      <c s="1852" t="s">
        <v>3884</v>
      </c>
      <c s="1852" t="s">
        <v>3885</v>
      </c>
      <c s="1852" t="s">
        <v>3886</v>
      </c>
      <c s="1852" t="s">
        <v>2595</v>
      </c>
      <c s="1852" t="s">
        <v>3887</v>
      </c>
      <c s="1852" t="s">
        <v>22</v>
      </c>
      <c s="1852" t="s">
        <v>854</v>
      </c>
    </row>
    <row r="635" spans="1:9" ht="11.25" customHeight="1">
      <c r="A635" s="1852" t="s">
        <v>2247</v>
      </c>
      <c s="1852" t="s">
        <v>16</v>
      </c>
      <c s="1852" t="s">
        <v>3888</v>
      </c>
      <c s="1852" t="s">
        <v>3889</v>
      </c>
      <c s="1852" t="s">
        <v>3890</v>
      </c>
      <c s="1852" t="s">
        <v>2600</v>
      </c>
      <c s="1852" t="s">
        <v>22</v>
      </c>
      <c s="1852" t="s">
        <v>22</v>
      </c>
      <c s="1852" t="s">
        <v>854</v>
      </c>
    </row>
    <row r="636" spans="1:9" ht="11.25" customHeight="1">
      <c r="A636" s="1852" t="s">
        <v>2247</v>
      </c>
      <c s="1852" t="s">
        <v>16</v>
      </c>
      <c s="1852" t="s">
        <v>3891</v>
      </c>
      <c s="1852" t="s">
        <v>3892</v>
      </c>
      <c s="1852" t="s">
        <v>3893</v>
      </c>
      <c s="1852" t="s">
        <v>2600</v>
      </c>
      <c s="1852" t="s">
        <v>3894</v>
      </c>
      <c s="1852" t="s">
        <v>22</v>
      </c>
      <c s="1852" t="s">
        <v>854</v>
      </c>
    </row>
    <row r="637" spans="1:9" ht="11.25" customHeight="1">
      <c r="A637" s="1852" t="s">
        <v>2247</v>
      </c>
      <c s="1852" t="s">
        <v>16</v>
      </c>
      <c s="1852" t="s">
        <v>2597</v>
      </c>
      <c s="1852" t="s">
        <v>2598</v>
      </c>
      <c s="1852" t="s">
        <v>2599</v>
      </c>
      <c s="1852" t="s">
        <v>2600</v>
      </c>
      <c s="1852" t="s">
        <v>22</v>
      </c>
      <c s="1852" t="s">
        <v>22</v>
      </c>
      <c s="1852" t="s">
        <v>854</v>
      </c>
    </row>
    <row r="638" spans="1:9" ht="11.25" customHeight="1">
      <c r="A638" s="1852" t="s">
        <v>2247</v>
      </c>
      <c s="1852" t="s">
        <v>16</v>
      </c>
      <c s="1852" t="s">
        <v>3895</v>
      </c>
      <c s="1852" t="s">
        <v>3896</v>
      </c>
      <c s="1852" t="s">
        <v>3897</v>
      </c>
      <c s="1852" t="s">
        <v>2600</v>
      </c>
      <c s="1852" t="s">
        <v>22</v>
      </c>
      <c s="1852" t="s">
        <v>22</v>
      </c>
      <c s="1852" t="s">
        <v>854</v>
      </c>
    </row>
    <row r="639" spans="1:9" ht="11.25" customHeight="1">
      <c r="A639" s="1852" t="s">
        <v>2247</v>
      </c>
      <c s="1852" t="s">
        <v>16</v>
      </c>
      <c s="1852" t="s">
        <v>3898</v>
      </c>
      <c s="1852" t="s">
        <v>3899</v>
      </c>
      <c s="1852" t="s">
        <v>3900</v>
      </c>
      <c s="1852" t="s">
        <v>2600</v>
      </c>
      <c s="1852" t="s">
        <v>22</v>
      </c>
      <c s="1852" t="s">
        <v>22</v>
      </c>
      <c s="1852" t="s">
        <v>854</v>
      </c>
    </row>
    <row r="640" spans="1:9" ht="11.25" customHeight="1">
      <c r="A640" s="1852" t="s">
        <v>2247</v>
      </c>
      <c s="1852" t="s">
        <v>16</v>
      </c>
      <c s="1852" t="s">
        <v>2601</v>
      </c>
      <c s="1852" t="s">
        <v>2602</v>
      </c>
      <c s="1852" t="s">
        <v>2603</v>
      </c>
      <c s="1852" t="s">
        <v>2604</v>
      </c>
      <c s="1852" t="s">
        <v>2605</v>
      </c>
      <c s="1852" t="s">
        <v>22</v>
      </c>
      <c s="1852" t="s">
        <v>854</v>
      </c>
    </row>
    <row r="641" spans="1:9" ht="11.25" customHeight="1">
      <c r="A641" s="1852" t="s">
        <v>2247</v>
      </c>
      <c s="1852" t="s">
        <v>16</v>
      </c>
      <c s="1852" t="s">
        <v>3901</v>
      </c>
      <c s="1852" t="s">
        <v>3902</v>
      </c>
      <c s="1852" t="s">
        <v>3903</v>
      </c>
      <c s="1852" t="s">
        <v>2281</v>
      </c>
      <c s="1852" t="s">
        <v>3595</v>
      </c>
      <c s="1852" t="s">
        <v>22</v>
      </c>
      <c s="1852" t="s">
        <v>854</v>
      </c>
    </row>
    <row r="642" spans="1:9" ht="11.25" customHeight="1">
      <c r="A642" s="1852" t="s">
        <v>2247</v>
      </c>
      <c s="1852" t="s">
        <v>16</v>
      </c>
      <c s="1852" t="s">
        <v>3904</v>
      </c>
      <c s="1852" t="s">
        <v>3905</v>
      </c>
      <c s="1852" t="s">
        <v>3906</v>
      </c>
      <c s="1852" t="s">
        <v>2600</v>
      </c>
      <c s="1852" t="s">
        <v>22</v>
      </c>
      <c s="1852" t="s">
        <v>22</v>
      </c>
      <c s="1852" t="s">
        <v>854</v>
      </c>
    </row>
    <row r="643" spans="1:9" ht="11.25" customHeight="1">
      <c r="A643" s="1852" t="s">
        <v>2247</v>
      </c>
      <c s="1852" t="s">
        <v>16</v>
      </c>
      <c s="1852" t="s">
        <v>2606</v>
      </c>
      <c s="1852" t="s">
        <v>2607</v>
      </c>
      <c s="1852" t="s">
        <v>2608</v>
      </c>
      <c s="1852" t="s">
        <v>2515</v>
      </c>
      <c s="1852" t="s">
        <v>22</v>
      </c>
      <c s="1852" t="s">
        <v>22</v>
      </c>
      <c s="1852" t="s">
        <v>854</v>
      </c>
    </row>
    <row r="644" spans="1:9" ht="11.25" customHeight="1">
      <c r="A644" s="1852" t="s">
        <v>2247</v>
      </c>
      <c s="1852" t="s">
        <v>16</v>
      </c>
      <c s="1852" t="s">
        <v>3907</v>
      </c>
      <c s="1852" t="s">
        <v>3908</v>
      </c>
      <c s="1852" t="s">
        <v>3909</v>
      </c>
      <c s="1852" t="s">
        <v>2477</v>
      </c>
      <c s="1852" t="s">
        <v>3910</v>
      </c>
      <c s="1852" t="s">
        <v>22</v>
      </c>
      <c s="1852" t="s">
        <v>854</v>
      </c>
    </row>
    <row r="645" spans="1:9" ht="11.25" customHeight="1">
      <c r="A645" s="1852" t="s">
        <v>2247</v>
      </c>
      <c s="1852" t="s">
        <v>16</v>
      </c>
      <c s="1852" t="s">
        <v>3911</v>
      </c>
      <c s="1852" t="s">
        <v>3912</v>
      </c>
      <c s="1852" t="s">
        <v>3913</v>
      </c>
      <c s="1852" t="s">
        <v>2399</v>
      </c>
      <c s="1852" t="s">
        <v>3914</v>
      </c>
      <c s="1852" t="s">
        <v>22</v>
      </c>
      <c s="1852" t="s">
        <v>854</v>
      </c>
    </row>
    <row r="646" spans="1:9" ht="11.25" customHeight="1">
      <c r="A646" s="1852" t="s">
        <v>2247</v>
      </c>
      <c s="1852" t="s">
        <v>16</v>
      </c>
      <c s="1852" t="s">
        <v>3915</v>
      </c>
      <c s="1852" t="s">
        <v>3916</v>
      </c>
      <c s="1852" t="s">
        <v>3917</v>
      </c>
      <c s="1852" t="s">
        <v>3062</v>
      </c>
      <c s="1852" t="s">
        <v>3918</v>
      </c>
      <c s="1852" t="s">
        <v>22</v>
      </c>
      <c s="1852" t="s">
        <v>854</v>
      </c>
    </row>
    <row r="647" spans="1:9" ht="11.25" customHeight="1">
      <c r="A647" s="1852" t="s">
        <v>2247</v>
      </c>
      <c s="1852" t="s">
        <v>16</v>
      </c>
      <c s="1852" t="s">
        <v>3919</v>
      </c>
      <c s="1852" t="s">
        <v>3920</v>
      </c>
      <c s="1852" t="s">
        <v>3921</v>
      </c>
      <c s="1852" t="s">
        <v>2467</v>
      </c>
      <c s="1852" t="s">
        <v>3922</v>
      </c>
      <c s="1852" t="s">
        <v>22</v>
      </c>
      <c s="1852" t="s">
        <v>854</v>
      </c>
    </row>
    <row r="648" spans="1:9" ht="11.25" customHeight="1">
      <c r="A648" s="1852" t="s">
        <v>2247</v>
      </c>
      <c s="1852" t="s">
        <v>16</v>
      </c>
      <c s="1852" t="s">
        <v>3923</v>
      </c>
      <c s="1852" t="s">
        <v>3924</v>
      </c>
      <c s="1852" t="s">
        <v>3925</v>
      </c>
      <c s="1852" t="s">
        <v>2612</v>
      </c>
      <c s="1852" t="s">
        <v>3926</v>
      </c>
      <c s="1852" t="s">
        <v>22</v>
      </c>
      <c s="1852" t="s">
        <v>854</v>
      </c>
    </row>
    <row r="649" spans="1:9" ht="11.25" customHeight="1">
      <c r="A649" s="1852" t="s">
        <v>2247</v>
      </c>
      <c s="1852" t="s">
        <v>16</v>
      </c>
      <c s="1852" t="s">
        <v>3927</v>
      </c>
      <c s="1852" t="s">
        <v>3928</v>
      </c>
      <c s="1852" t="s">
        <v>3929</v>
      </c>
      <c s="1852" t="s">
        <v>2604</v>
      </c>
      <c s="1852" t="s">
        <v>3930</v>
      </c>
      <c s="1852" t="s">
        <v>22</v>
      </c>
      <c s="1852" t="s">
        <v>854</v>
      </c>
    </row>
    <row r="650" spans="1:9" ht="11.25" customHeight="1">
      <c r="A650" s="1852" t="s">
        <v>2247</v>
      </c>
      <c s="1852" t="s">
        <v>16</v>
      </c>
      <c s="1852" t="s">
        <v>3931</v>
      </c>
      <c s="1852" t="s">
        <v>3932</v>
      </c>
      <c s="1852" t="s">
        <v>3933</v>
      </c>
      <c s="1852" t="s">
        <v>2286</v>
      </c>
      <c s="1852" t="s">
        <v>3934</v>
      </c>
      <c s="1852" t="s">
        <v>22</v>
      </c>
      <c s="1852" t="s">
        <v>854</v>
      </c>
    </row>
    <row r="651" spans="1:9" ht="11.25" customHeight="1">
      <c r="A651" s="1852" t="s">
        <v>2247</v>
      </c>
      <c s="1852" t="s">
        <v>16</v>
      </c>
      <c s="1852" t="s">
        <v>3935</v>
      </c>
      <c s="1852" t="s">
        <v>3932</v>
      </c>
      <c s="1852" t="s">
        <v>3936</v>
      </c>
      <c s="1852" t="s">
        <v>2511</v>
      </c>
      <c s="1852" t="s">
        <v>3937</v>
      </c>
      <c s="1852" t="s">
        <v>22</v>
      </c>
      <c s="1852" t="s">
        <v>854</v>
      </c>
    </row>
    <row r="652" spans="1:9" ht="11.25" customHeight="1">
      <c r="A652" s="1852" t="s">
        <v>2247</v>
      </c>
      <c s="1852" t="s">
        <v>16</v>
      </c>
      <c s="1852" t="s">
        <v>3938</v>
      </c>
      <c s="1852" t="s">
        <v>3939</v>
      </c>
      <c s="1852" t="s">
        <v>3940</v>
      </c>
      <c s="1852" t="s">
        <v>2746</v>
      </c>
      <c s="1852" t="s">
        <v>3941</v>
      </c>
      <c s="1852" t="s">
        <v>22</v>
      </c>
      <c s="1852" t="s">
        <v>854</v>
      </c>
    </row>
    <row r="653" spans="1:9" ht="11.25" customHeight="1">
      <c r="A653" s="1852" t="s">
        <v>2247</v>
      </c>
      <c s="1852" t="s">
        <v>16</v>
      </c>
      <c s="1852" t="s">
        <v>3942</v>
      </c>
      <c s="1852" t="s">
        <v>3943</v>
      </c>
      <c s="1852" t="s">
        <v>3944</v>
      </c>
      <c s="1852" t="s">
        <v>3210</v>
      </c>
      <c s="1852" t="s">
        <v>22</v>
      </c>
      <c s="1852" t="s">
        <v>22</v>
      </c>
      <c s="1852" t="s">
        <v>854</v>
      </c>
    </row>
    <row r="654" spans="1:9" ht="11.25" customHeight="1">
      <c r="A654" s="1852" t="s">
        <v>2247</v>
      </c>
      <c s="1852" t="s">
        <v>16</v>
      </c>
      <c s="1852" t="s">
        <v>3945</v>
      </c>
      <c s="1852" t="s">
        <v>3946</v>
      </c>
      <c s="1852" t="s">
        <v>3947</v>
      </c>
      <c s="1852" t="s">
        <v>2477</v>
      </c>
      <c s="1852" t="s">
        <v>3948</v>
      </c>
      <c s="1852" t="s">
        <v>22</v>
      </c>
      <c s="1852" t="s">
        <v>854</v>
      </c>
    </row>
    <row r="655" spans="1:9" ht="11.25" customHeight="1">
      <c r="A655" s="1852" t="s">
        <v>2247</v>
      </c>
      <c s="1852" t="s">
        <v>16</v>
      </c>
      <c s="1852" t="s">
        <v>3949</v>
      </c>
      <c s="1852" t="s">
        <v>3950</v>
      </c>
      <c s="1852" t="s">
        <v>3951</v>
      </c>
      <c s="1852" t="s">
        <v>2347</v>
      </c>
      <c s="1852" t="s">
        <v>22</v>
      </c>
      <c s="1852" t="s">
        <v>22</v>
      </c>
      <c s="1852" t="s">
        <v>854</v>
      </c>
    </row>
    <row r="656" spans="1:9" ht="11.25" customHeight="1">
      <c r="A656" s="1852" t="s">
        <v>2247</v>
      </c>
      <c s="1852" t="s">
        <v>16</v>
      </c>
      <c s="1852" t="s">
        <v>3952</v>
      </c>
      <c s="1852" t="s">
        <v>3953</v>
      </c>
      <c s="1852" t="s">
        <v>3954</v>
      </c>
      <c s="1852" t="s">
        <v>2691</v>
      </c>
      <c s="1852" t="s">
        <v>3955</v>
      </c>
      <c s="1852" t="s">
        <v>22</v>
      </c>
      <c s="1852" t="s">
        <v>854</v>
      </c>
    </row>
    <row r="657" spans="1:9" ht="11.25" customHeight="1">
      <c r="A657" s="1852" t="s">
        <v>2247</v>
      </c>
      <c s="1852" t="s">
        <v>16</v>
      </c>
      <c s="1852" t="s">
        <v>3956</v>
      </c>
      <c s="1852" t="s">
        <v>3957</v>
      </c>
      <c s="1852" t="s">
        <v>3958</v>
      </c>
      <c s="1852" t="s">
        <v>2567</v>
      </c>
      <c s="1852" t="s">
        <v>3959</v>
      </c>
      <c s="1852" t="s">
        <v>22</v>
      </c>
      <c s="1852" t="s">
        <v>854</v>
      </c>
    </row>
    <row r="658" spans="1:9" ht="11.25" customHeight="1">
      <c r="A658" s="1852" t="s">
        <v>2247</v>
      </c>
      <c s="1852" t="s">
        <v>16</v>
      </c>
      <c s="1852" t="s">
        <v>3960</v>
      </c>
      <c s="1852" t="s">
        <v>3961</v>
      </c>
      <c s="1852" t="s">
        <v>3962</v>
      </c>
      <c s="1852" t="s">
        <v>2600</v>
      </c>
      <c s="1852" t="s">
        <v>22</v>
      </c>
      <c s="1852" t="s">
        <v>22</v>
      </c>
      <c s="1852" t="s">
        <v>854</v>
      </c>
    </row>
    <row r="659" spans="1:9" ht="11.25" customHeight="1">
      <c r="A659" s="1852" t="s">
        <v>2247</v>
      </c>
      <c s="1852" t="s">
        <v>16</v>
      </c>
      <c s="1852" t="s">
        <v>3963</v>
      </c>
      <c s="1852" t="s">
        <v>3964</v>
      </c>
      <c s="1852" t="s">
        <v>3965</v>
      </c>
      <c s="1852" t="s">
        <v>2399</v>
      </c>
      <c s="1852" t="s">
        <v>3966</v>
      </c>
      <c s="1852" t="s">
        <v>22</v>
      </c>
      <c s="1852" t="s">
        <v>854</v>
      </c>
    </row>
    <row r="660" spans="1:9" ht="11.25" customHeight="1">
      <c r="A660" s="1852" t="s">
        <v>2247</v>
      </c>
      <c s="1852" t="s">
        <v>16</v>
      </c>
      <c s="1852" t="s">
        <v>2613</v>
      </c>
      <c s="1852" t="s">
        <v>2614</v>
      </c>
      <c s="1852" t="s">
        <v>2615</v>
      </c>
      <c s="1852" t="s">
        <v>2281</v>
      </c>
      <c s="1852" t="s">
        <v>2616</v>
      </c>
      <c s="1852" t="s">
        <v>22</v>
      </c>
      <c s="1852" t="s">
        <v>854</v>
      </c>
    </row>
    <row r="661" spans="1:9" ht="11.25" customHeight="1">
      <c r="A661" s="1852" t="s">
        <v>2247</v>
      </c>
      <c s="1852" t="s">
        <v>16</v>
      </c>
      <c s="1852" t="s">
        <v>2617</v>
      </c>
      <c s="1852" t="s">
        <v>2618</v>
      </c>
      <c s="1852" t="s">
        <v>2619</v>
      </c>
      <c s="1852" t="s">
        <v>2620</v>
      </c>
      <c s="1852" t="s">
        <v>2621</v>
      </c>
      <c s="1852" t="s">
        <v>22</v>
      </c>
      <c s="1852" t="s">
        <v>854</v>
      </c>
    </row>
    <row r="662" spans="1:9" ht="11.25" customHeight="1">
      <c r="A662" s="1852" t="s">
        <v>2247</v>
      </c>
      <c s="1852" t="s">
        <v>16</v>
      </c>
      <c s="1852" t="s">
        <v>3967</v>
      </c>
      <c s="1852" t="s">
        <v>3968</v>
      </c>
      <c s="1852" t="s">
        <v>3969</v>
      </c>
      <c s="1852" t="s">
        <v>2567</v>
      </c>
      <c s="1852" t="s">
        <v>3970</v>
      </c>
      <c s="1852" t="s">
        <v>22</v>
      </c>
      <c s="1852" t="s">
        <v>854</v>
      </c>
    </row>
    <row r="663" spans="1:9" ht="11.25" customHeight="1">
      <c r="A663" s="1852" t="s">
        <v>2247</v>
      </c>
      <c s="1852" t="s">
        <v>16</v>
      </c>
      <c s="1852" t="s">
        <v>3971</v>
      </c>
      <c s="1852" t="s">
        <v>3972</v>
      </c>
      <c s="1852" t="s">
        <v>3973</v>
      </c>
      <c s="1852" t="s">
        <v>2477</v>
      </c>
      <c s="1852" t="s">
        <v>3974</v>
      </c>
      <c s="1852" t="s">
        <v>22</v>
      </c>
      <c s="1852" t="s">
        <v>854</v>
      </c>
    </row>
    <row r="664" spans="1:9" ht="11.25" customHeight="1">
      <c r="A664" s="1852" t="s">
        <v>2247</v>
      </c>
      <c s="1852" t="s">
        <v>16</v>
      </c>
      <c s="1852" t="s">
        <v>2622</v>
      </c>
      <c s="1852" t="s">
        <v>2623</v>
      </c>
      <c s="1852" t="s">
        <v>2624</v>
      </c>
      <c s="1852" t="s">
        <v>2519</v>
      </c>
      <c s="1852" t="s">
        <v>2520</v>
      </c>
      <c s="1852" t="s">
        <v>22</v>
      </c>
      <c s="1852" t="s">
        <v>854</v>
      </c>
    </row>
    <row r="665" spans="1:9" ht="11.25" customHeight="1">
      <c r="A665" s="1852" t="s">
        <v>2247</v>
      </c>
      <c s="1852" t="s">
        <v>16</v>
      </c>
      <c s="1852" t="s">
        <v>2625</v>
      </c>
      <c s="1852" t="s">
        <v>2626</v>
      </c>
      <c s="1852" t="s">
        <v>2627</v>
      </c>
      <c s="1852" t="s">
        <v>2411</v>
      </c>
      <c s="1852" t="s">
        <v>2628</v>
      </c>
      <c s="1852" t="s">
        <v>22</v>
      </c>
      <c s="1852" t="s">
        <v>854</v>
      </c>
    </row>
    <row r="666" spans="1:9" ht="11.25" customHeight="1">
      <c r="A666" s="1852" t="s">
        <v>2247</v>
      </c>
      <c s="1852" t="s">
        <v>16</v>
      </c>
      <c s="1852" t="s">
        <v>2629</v>
      </c>
      <c s="1852" t="s">
        <v>2630</v>
      </c>
      <c s="1852" t="s">
        <v>2631</v>
      </c>
      <c s="1852" t="s">
        <v>2567</v>
      </c>
      <c s="1852" t="s">
        <v>2632</v>
      </c>
      <c s="1852" t="s">
        <v>22</v>
      </c>
      <c s="1852" t="s">
        <v>854</v>
      </c>
    </row>
    <row r="667" spans="1:9" ht="11.25" customHeight="1">
      <c r="A667" s="1852" t="s">
        <v>2247</v>
      </c>
      <c s="1852" t="s">
        <v>16</v>
      </c>
      <c s="1852" t="s">
        <v>3975</v>
      </c>
      <c s="1852" t="s">
        <v>3976</v>
      </c>
      <c s="1852" t="s">
        <v>3977</v>
      </c>
      <c s="1852" t="s">
        <v>2519</v>
      </c>
      <c s="1852" t="s">
        <v>3978</v>
      </c>
      <c s="1852" t="s">
        <v>22</v>
      </c>
      <c s="1852" t="s">
        <v>854</v>
      </c>
    </row>
    <row r="668" spans="1:9" ht="11.25" customHeight="1">
      <c r="A668" s="1852" t="s">
        <v>2247</v>
      </c>
      <c s="1852" t="s">
        <v>16</v>
      </c>
      <c s="1852" t="s">
        <v>2633</v>
      </c>
      <c s="1852" t="s">
        <v>2634</v>
      </c>
      <c s="1852" t="s">
        <v>2635</v>
      </c>
      <c s="1852" t="s">
        <v>2636</v>
      </c>
      <c s="1852" t="s">
        <v>2637</v>
      </c>
      <c s="1852" t="s">
        <v>22</v>
      </c>
      <c s="1852" t="s">
        <v>854</v>
      </c>
    </row>
    <row r="669" spans="1:9" ht="11.25" customHeight="1">
      <c r="A669" s="1852" t="s">
        <v>2247</v>
      </c>
      <c s="1852" t="s">
        <v>16</v>
      </c>
      <c s="1852" t="s">
        <v>3979</v>
      </c>
      <c s="1852" t="s">
        <v>3980</v>
      </c>
      <c s="1852" t="s">
        <v>3981</v>
      </c>
      <c s="1852" t="s">
        <v>2411</v>
      </c>
      <c s="1852" t="s">
        <v>3982</v>
      </c>
      <c s="1852" t="s">
        <v>22</v>
      </c>
      <c s="1852" t="s">
        <v>854</v>
      </c>
    </row>
    <row r="670" spans="1:9" ht="11.25" customHeight="1">
      <c r="A670" s="1852" t="s">
        <v>2247</v>
      </c>
      <c s="1852" t="s">
        <v>16</v>
      </c>
      <c s="1852" t="s">
        <v>3983</v>
      </c>
      <c s="1852" t="s">
        <v>3984</v>
      </c>
      <c s="1852" t="s">
        <v>3985</v>
      </c>
      <c s="1852" t="s">
        <v>2403</v>
      </c>
      <c s="1852" t="s">
        <v>22</v>
      </c>
      <c s="1852" t="s">
        <v>22</v>
      </c>
      <c s="1852" t="s">
        <v>854</v>
      </c>
    </row>
    <row r="671" spans="1:9" ht="11.25" customHeight="1">
      <c r="A671" s="1852" t="s">
        <v>2247</v>
      </c>
      <c s="1852" t="s">
        <v>16</v>
      </c>
      <c s="1852" t="s">
        <v>3986</v>
      </c>
      <c s="1852" t="s">
        <v>3987</v>
      </c>
      <c s="1852" t="s">
        <v>3988</v>
      </c>
      <c s="1852" t="s">
        <v>2403</v>
      </c>
      <c s="1852" t="s">
        <v>22</v>
      </c>
      <c s="1852" t="s">
        <v>22</v>
      </c>
      <c s="1852" t="s">
        <v>854</v>
      </c>
    </row>
    <row r="672" spans="1:9" ht="11.25" customHeight="1">
      <c r="A672" s="1852" t="s">
        <v>2247</v>
      </c>
      <c s="1852" t="s">
        <v>16</v>
      </c>
      <c s="1852" t="s">
        <v>3989</v>
      </c>
      <c s="1852" t="s">
        <v>3990</v>
      </c>
      <c s="1852" t="s">
        <v>3991</v>
      </c>
      <c s="1852" t="s">
        <v>2403</v>
      </c>
      <c s="1852" t="s">
        <v>22</v>
      </c>
      <c s="1852" t="s">
        <v>22</v>
      </c>
      <c s="1852" t="s">
        <v>854</v>
      </c>
    </row>
    <row r="673" spans="1:9" ht="11.25" customHeight="1">
      <c r="A673" s="1852" t="s">
        <v>2247</v>
      </c>
      <c s="1852" t="s">
        <v>16</v>
      </c>
      <c s="1852" t="s">
        <v>3992</v>
      </c>
      <c s="1852" t="s">
        <v>3993</v>
      </c>
      <c s="1852" t="s">
        <v>3994</v>
      </c>
      <c s="1852" t="s">
        <v>2403</v>
      </c>
      <c s="1852" t="s">
        <v>22</v>
      </c>
      <c s="1852" t="s">
        <v>22</v>
      </c>
      <c s="1852" t="s">
        <v>854</v>
      </c>
    </row>
    <row r="674" spans="1:9" ht="11.25" customHeight="1">
      <c r="A674" s="1852" t="s">
        <v>2247</v>
      </c>
      <c s="1852" t="s">
        <v>16</v>
      </c>
      <c s="1852" t="s">
        <v>3995</v>
      </c>
      <c s="1852" t="s">
        <v>3996</v>
      </c>
      <c s="1852" t="s">
        <v>3997</v>
      </c>
      <c s="1852" t="s">
        <v>3636</v>
      </c>
      <c s="1852" t="s">
        <v>3998</v>
      </c>
      <c s="1852" t="s">
        <v>22</v>
      </c>
      <c s="1852" t="s">
        <v>854</v>
      </c>
    </row>
    <row r="675" spans="1:9" ht="11.25" customHeight="1">
      <c r="A675" s="1852" t="s">
        <v>2247</v>
      </c>
      <c s="1852" t="s">
        <v>16</v>
      </c>
      <c s="1852" t="s">
        <v>3999</v>
      </c>
      <c s="1852" t="s">
        <v>4000</v>
      </c>
      <c s="1852" t="s">
        <v>4001</v>
      </c>
      <c s="1852" t="s">
        <v>2659</v>
      </c>
      <c s="1852" t="s">
        <v>4002</v>
      </c>
      <c s="1852" t="s">
        <v>22</v>
      </c>
      <c s="1852" t="s">
        <v>854</v>
      </c>
    </row>
    <row r="676" spans="1:9" ht="11.25" customHeight="1">
      <c r="A676" s="1852" t="s">
        <v>2247</v>
      </c>
      <c s="1852" t="s">
        <v>16</v>
      </c>
      <c s="1852" t="s">
        <v>4003</v>
      </c>
      <c s="1852" t="s">
        <v>4004</v>
      </c>
      <c s="1852" t="s">
        <v>4005</v>
      </c>
      <c s="1852" t="s">
        <v>2467</v>
      </c>
      <c s="1852" t="s">
        <v>4006</v>
      </c>
      <c s="1852" t="s">
        <v>22</v>
      </c>
      <c s="1852" t="s">
        <v>854</v>
      </c>
    </row>
    <row r="677" spans="1:9" ht="11.25" customHeight="1">
      <c r="A677" s="1852" t="s">
        <v>2247</v>
      </c>
      <c s="1852" t="s">
        <v>16</v>
      </c>
      <c s="1852" t="s">
        <v>4007</v>
      </c>
      <c s="1852" t="s">
        <v>2639</v>
      </c>
      <c s="1852" t="s">
        <v>4008</v>
      </c>
      <c s="1852" t="s">
        <v>2467</v>
      </c>
      <c s="1852" t="s">
        <v>4009</v>
      </c>
      <c s="1852" t="s">
        <v>22</v>
      </c>
      <c s="1852" t="s">
        <v>854</v>
      </c>
    </row>
    <row r="678" spans="1:9" ht="11.25" customHeight="1">
      <c r="A678" s="1852" t="s">
        <v>2247</v>
      </c>
      <c s="1852" t="s">
        <v>16</v>
      </c>
      <c s="1852" t="s">
        <v>2642</v>
      </c>
      <c s="1852" t="s">
        <v>2643</v>
      </c>
      <c s="1852" t="s">
        <v>2644</v>
      </c>
      <c s="1852" t="s">
        <v>2595</v>
      </c>
      <c s="1852" t="s">
        <v>22</v>
      </c>
      <c s="1852" t="s">
        <v>22</v>
      </c>
      <c s="1852" t="s">
        <v>854</v>
      </c>
    </row>
    <row r="679" spans="1:9" ht="11.25" customHeight="1">
      <c r="A679" s="1852" t="s">
        <v>2247</v>
      </c>
      <c s="1852" t="s">
        <v>16</v>
      </c>
      <c s="1852" t="s">
        <v>4010</v>
      </c>
      <c s="1852" t="s">
        <v>4011</v>
      </c>
      <c s="1852" t="s">
        <v>4012</v>
      </c>
      <c s="1852" t="s">
        <v>2659</v>
      </c>
      <c s="1852" t="s">
        <v>4002</v>
      </c>
      <c s="1852" t="s">
        <v>22</v>
      </c>
      <c s="1852" t="s">
        <v>854</v>
      </c>
    </row>
    <row r="680" spans="1:9" ht="11.25" customHeight="1">
      <c r="A680" s="1852" t="s">
        <v>2247</v>
      </c>
      <c s="1852" t="s">
        <v>16</v>
      </c>
      <c s="1852" t="s">
        <v>4013</v>
      </c>
      <c s="1852" t="s">
        <v>4014</v>
      </c>
      <c s="1852" t="s">
        <v>4015</v>
      </c>
      <c s="1852" t="s">
        <v>2419</v>
      </c>
      <c s="1852" t="s">
        <v>4016</v>
      </c>
      <c s="1852" t="s">
        <v>22</v>
      </c>
      <c s="1852" t="s">
        <v>854</v>
      </c>
    </row>
    <row r="681" spans="1:9" ht="11.25" customHeight="1">
      <c r="A681" s="1852" t="s">
        <v>2247</v>
      </c>
      <c s="1852" t="s">
        <v>16</v>
      </c>
      <c s="1852" t="s">
        <v>4017</v>
      </c>
      <c s="1852" t="s">
        <v>4018</v>
      </c>
      <c s="1852" t="s">
        <v>4019</v>
      </c>
      <c s="1852" t="s">
        <v>3194</v>
      </c>
      <c s="1852" t="s">
        <v>22</v>
      </c>
      <c s="1852" t="s">
        <v>22</v>
      </c>
      <c s="1852" t="s">
        <v>854</v>
      </c>
    </row>
    <row r="682" spans="1:9" ht="11.25" customHeight="1">
      <c r="A682" s="1852" t="s">
        <v>2247</v>
      </c>
      <c s="1852" t="s">
        <v>16</v>
      </c>
      <c s="1852" t="s">
        <v>4020</v>
      </c>
      <c s="1852" t="s">
        <v>4021</v>
      </c>
      <c s="1852" t="s">
        <v>4022</v>
      </c>
      <c s="1852" t="s">
        <v>2675</v>
      </c>
      <c s="1852" t="s">
        <v>4023</v>
      </c>
      <c s="1852" t="s">
        <v>22</v>
      </c>
      <c s="1852" t="s">
        <v>854</v>
      </c>
    </row>
    <row r="683" spans="1:9" ht="11.25" customHeight="1">
      <c r="A683" s="1852" t="s">
        <v>2247</v>
      </c>
      <c s="1852" t="s">
        <v>16</v>
      </c>
      <c s="1852" t="s">
        <v>4024</v>
      </c>
      <c s="1852" t="s">
        <v>4025</v>
      </c>
      <c s="1852" t="s">
        <v>4026</v>
      </c>
      <c s="1852" t="s">
        <v>2604</v>
      </c>
      <c s="1852" t="s">
        <v>4027</v>
      </c>
      <c s="1852" t="s">
        <v>22</v>
      </c>
      <c s="1852" t="s">
        <v>854</v>
      </c>
    </row>
    <row r="684" spans="1:9" ht="11.25" customHeight="1">
      <c r="A684" s="1852" t="s">
        <v>2247</v>
      </c>
      <c s="1852" t="s">
        <v>16</v>
      </c>
      <c s="1852" t="s">
        <v>4028</v>
      </c>
      <c s="1852" t="s">
        <v>4029</v>
      </c>
      <c s="1852" t="s">
        <v>4030</v>
      </c>
      <c s="1852" t="s">
        <v>2567</v>
      </c>
      <c s="1852" t="s">
        <v>4031</v>
      </c>
      <c s="1852" t="s">
        <v>22</v>
      </c>
      <c s="1852" t="s">
        <v>854</v>
      </c>
    </row>
    <row r="685" spans="1:9" ht="11.25" customHeight="1">
      <c r="A685" s="1852" t="s">
        <v>2247</v>
      </c>
      <c s="1852" t="s">
        <v>16</v>
      </c>
      <c s="1852" t="s">
        <v>4032</v>
      </c>
      <c s="1852" t="s">
        <v>4033</v>
      </c>
      <c s="1852" t="s">
        <v>4034</v>
      </c>
      <c s="1852" t="s">
        <v>2604</v>
      </c>
      <c s="1852" t="s">
        <v>4035</v>
      </c>
      <c s="1852" t="s">
        <v>22</v>
      </c>
      <c s="1852" t="s">
        <v>854</v>
      </c>
    </row>
    <row r="686" spans="1:9" ht="11.25" customHeight="1">
      <c r="A686" s="1852" t="s">
        <v>2247</v>
      </c>
      <c s="1852" t="s">
        <v>16</v>
      </c>
      <c s="1852" t="s">
        <v>4036</v>
      </c>
      <c s="1852" t="s">
        <v>4037</v>
      </c>
      <c s="1852" t="s">
        <v>4038</v>
      </c>
      <c s="1852" t="s">
        <v>2659</v>
      </c>
      <c s="1852" t="s">
        <v>4039</v>
      </c>
      <c s="1852" t="s">
        <v>22</v>
      </c>
      <c s="1852" t="s">
        <v>854</v>
      </c>
    </row>
    <row r="687" spans="1:9" ht="11.25" customHeight="1">
      <c r="A687" s="1852" t="s">
        <v>2247</v>
      </c>
      <c s="1852" t="s">
        <v>16</v>
      </c>
      <c s="1852" t="s">
        <v>2656</v>
      </c>
      <c s="1852" t="s">
        <v>2657</v>
      </c>
      <c s="1852" t="s">
        <v>2658</v>
      </c>
      <c s="1852" t="s">
        <v>2659</v>
      </c>
      <c s="1852" t="s">
        <v>2660</v>
      </c>
      <c s="1852" t="s">
        <v>22</v>
      </c>
      <c s="1852" t="s">
        <v>854</v>
      </c>
    </row>
    <row r="688" spans="1:9" ht="11.25" customHeight="1">
      <c r="A688" s="1852" t="s">
        <v>2247</v>
      </c>
      <c s="1852" t="s">
        <v>16</v>
      </c>
      <c s="1852" t="s">
        <v>4040</v>
      </c>
      <c s="1852" t="s">
        <v>4041</v>
      </c>
      <c s="1852" t="s">
        <v>4042</v>
      </c>
      <c s="1852" t="s">
        <v>2511</v>
      </c>
      <c s="1852" t="s">
        <v>22</v>
      </c>
      <c s="1852" t="s">
        <v>22</v>
      </c>
      <c s="1852" t="s">
        <v>854</v>
      </c>
    </row>
    <row r="689" spans="1:9" ht="11.25" customHeight="1">
      <c r="A689" s="1852" t="s">
        <v>2247</v>
      </c>
      <c s="1852" t="s">
        <v>16</v>
      </c>
      <c s="1852" t="s">
        <v>4043</v>
      </c>
      <c s="1852" t="s">
        <v>4044</v>
      </c>
      <c s="1852" t="s">
        <v>4045</v>
      </c>
      <c s="1852" t="s">
        <v>2411</v>
      </c>
      <c s="1852" t="s">
        <v>22</v>
      </c>
      <c s="1852" t="s">
        <v>22</v>
      </c>
      <c s="1852" t="s">
        <v>854</v>
      </c>
    </row>
    <row r="690" spans="1:9" ht="11.25" customHeight="1">
      <c r="A690" s="1852" t="s">
        <v>2247</v>
      </c>
      <c s="1852" t="s">
        <v>16</v>
      </c>
      <c s="1852" t="s">
        <v>4046</v>
      </c>
      <c s="1852" t="s">
        <v>4047</v>
      </c>
      <c s="1852" t="s">
        <v>4048</v>
      </c>
      <c s="1852" t="s">
        <v>2511</v>
      </c>
      <c s="1852" t="s">
        <v>4049</v>
      </c>
      <c s="1852" t="s">
        <v>22</v>
      </c>
      <c s="1852" t="s">
        <v>854</v>
      </c>
    </row>
    <row r="691" spans="1:9" ht="11.25" customHeight="1">
      <c r="A691" s="1852" t="s">
        <v>2247</v>
      </c>
      <c s="1852" t="s">
        <v>16</v>
      </c>
      <c s="1852" t="s">
        <v>4050</v>
      </c>
      <c s="1852" t="s">
        <v>4051</v>
      </c>
      <c s="1852" t="s">
        <v>4052</v>
      </c>
      <c s="1852" t="s">
        <v>2477</v>
      </c>
      <c s="1852" t="s">
        <v>4053</v>
      </c>
      <c s="1852" t="s">
        <v>22</v>
      </c>
      <c s="1852" t="s">
        <v>854</v>
      </c>
    </row>
    <row r="692" spans="1:9" ht="11.25" customHeight="1">
      <c r="A692" s="1852" t="s">
        <v>2247</v>
      </c>
      <c s="1852" t="s">
        <v>16</v>
      </c>
      <c s="1852" t="s">
        <v>4054</v>
      </c>
      <c s="1852" t="s">
        <v>4055</v>
      </c>
      <c s="1852" t="s">
        <v>4056</v>
      </c>
      <c s="1852" t="s">
        <v>2620</v>
      </c>
      <c s="1852" t="s">
        <v>4057</v>
      </c>
      <c s="1852" t="s">
        <v>22</v>
      </c>
      <c s="1852" t="s">
        <v>854</v>
      </c>
    </row>
    <row r="693" spans="1:9" ht="11.25" customHeight="1">
      <c r="A693" s="1852" t="s">
        <v>2247</v>
      </c>
      <c s="1852" t="s">
        <v>16</v>
      </c>
      <c s="1852" t="s">
        <v>4058</v>
      </c>
      <c s="1852" t="s">
        <v>4059</v>
      </c>
      <c s="1852" t="s">
        <v>4060</v>
      </c>
      <c s="1852" t="s">
        <v>2636</v>
      </c>
      <c s="1852" t="s">
        <v>2660</v>
      </c>
      <c s="1852" t="s">
        <v>22</v>
      </c>
      <c s="1852" t="s">
        <v>854</v>
      </c>
    </row>
    <row r="694" spans="1:9" ht="11.25" customHeight="1">
      <c r="A694" s="1852" t="s">
        <v>2247</v>
      </c>
      <c s="1852" t="s">
        <v>16</v>
      </c>
      <c s="1852" t="s">
        <v>4061</v>
      </c>
      <c s="1852" t="s">
        <v>4062</v>
      </c>
      <c s="1852" t="s">
        <v>4063</v>
      </c>
      <c s="1852" t="s">
        <v>2567</v>
      </c>
      <c s="1852" t="s">
        <v>4064</v>
      </c>
      <c s="1852" t="s">
        <v>22</v>
      </c>
      <c s="1852" t="s">
        <v>854</v>
      </c>
    </row>
    <row r="695" spans="1:9" ht="11.25" customHeight="1">
      <c r="A695" s="1852" t="s">
        <v>2247</v>
      </c>
      <c s="1852" t="s">
        <v>16</v>
      </c>
      <c s="1852" t="s">
        <v>4065</v>
      </c>
      <c s="1852" t="s">
        <v>4066</v>
      </c>
      <c s="1852" t="s">
        <v>4067</v>
      </c>
      <c s="1852" t="s">
        <v>3241</v>
      </c>
      <c s="1852" t="s">
        <v>3864</v>
      </c>
      <c s="1852" t="s">
        <v>22</v>
      </c>
      <c s="1852" t="s">
        <v>854</v>
      </c>
    </row>
    <row r="696" spans="1:9" ht="11.25" customHeight="1">
      <c r="A696" s="1852" t="s">
        <v>2247</v>
      </c>
      <c s="1852" t="s">
        <v>16</v>
      </c>
      <c s="1852" t="s">
        <v>4068</v>
      </c>
      <c s="1852" t="s">
        <v>4069</v>
      </c>
      <c s="1852" t="s">
        <v>4070</v>
      </c>
      <c s="1852" t="s">
        <v>2604</v>
      </c>
      <c s="1852" t="s">
        <v>4071</v>
      </c>
      <c s="1852" t="s">
        <v>22</v>
      </c>
      <c s="1852" t="s">
        <v>854</v>
      </c>
    </row>
    <row r="697" spans="1:9" ht="11.25" customHeight="1">
      <c r="A697" s="1852" t="s">
        <v>2247</v>
      </c>
      <c s="1852" t="s">
        <v>16</v>
      </c>
      <c s="1852" t="s">
        <v>4072</v>
      </c>
      <c s="1852" t="s">
        <v>4073</v>
      </c>
      <c s="1852" t="s">
        <v>4074</v>
      </c>
      <c s="1852" t="s">
        <v>2411</v>
      </c>
      <c s="1852" t="s">
        <v>4075</v>
      </c>
      <c s="1852" t="s">
        <v>22</v>
      </c>
      <c s="1852" t="s">
        <v>854</v>
      </c>
    </row>
    <row r="698" spans="1:9" ht="11.25" customHeight="1">
      <c r="A698" s="1852" t="s">
        <v>2247</v>
      </c>
      <c s="1852" t="s">
        <v>16</v>
      </c>
      <c s="1852" t="s">
        <v>4076</v>
      </c>
      <c s="1852" t="s">
        <v>4077</v>
      </c>
      <c s="1852" t="s">
        <v>4078</v>
      </c>
      <c s="1852" t="s">
        <v>3241</v>
      </c>
      <c s="1852" t="s">
        <v>4079</v>
      </c>
      <c s="1852" t="s">
        <v>22</v>
      </c>
      <c s="1852" t="s">
        <v>854</v>
      </c>
    </row>
    <row r="699" spans="1:9" ht="11.25" customHeight="1">
      <c r="A699" s="1852" t="s">
        <v>2247</v>
      </c>
      <c s="1852" t="s">
        <v>16</v>
      </c>
      <c s="1852" t="s">
        <v>4080</v>
      </c>
      <c s="1852" t="s">
        <v>4081</v>
      </c>
      <c s="1852" t="s">
        <v>4082</v>
      </c>
      <c s="1852" t="s">
        <v>2584</v>
      </c>
      <c s="1852" t="s">
        <v>22</v>
      </c>
      <c s="1852" t="s">
        <v>22</v>
      </c>
      <c s="1852" t="s">
        <v>854</v>
      </c>
    </row>
    <row r="700" spans="1:9" ht="11.25" customHeight="1">
      <c r="A700" s="1852" t="s">
        <v>2247</v>
      </c>
      <c s="1852" t="s">
        <v>16</v>
      </c>
      <c s="1852" t="s">
        <v>2661</v>
      </c>
      <c s="1852" t="s">
        <v>2662</v>
      </c>
      <c s="1852" t="s">
        <v>2663</v>
      </c>
      <c s="1852" t="s">
        <v>2584</v>
      </c>
      <c s="1852" t="s">
        <v>22</v>
      </c>
      <c s="1852" t="s">
        <v>22</v>
      </c>
      <c s="1852" t="s">
        <v>854</v>
      </c>
    </row>
    <row r="701" spans="1:9" ht="11.25" customHeight="1">
      <c r="A701" s="1852" t="s">
        <v>2247</v>
      </c>
      <c s="1852" t="s">
        <v>16</v>
      </c>
      <c s="1852" t="s">
        <v>4083</v>
      </c>
      <c s="1852" t="s">
        <v>4084</v>
      </c>
      <c s="1852" t="s">
        <v>4085</v>
      </c>
      <c s="1852" t="s">
        <v>3241</v>
      </c>
      <c s="1852" t="s">
        <v>4086</v>
      </c>
      <c s="1852" t="s">
        <v>22</v>
      </c>
      <c s="1852" t="s">
        <v>854</v>
      </c>
    </row>
    <row r="702" spans="1:9" ht="11.25" customHeight="1">
      <c r="A702" s="1852" t="s">
        <v>2247</v>
      </c>
      <c s="1852" t="s">
        <v>16</v>
      </c>
      <c s="1852" t="s">
        <v>4087</v>
      </c>
      <c s="1852" t="s">
        <v>4088</v>
      </c>
      <c s="1852" t="s">
        <v>4089</v>
      </c>
      <c s="1852" t="s">
        <v>2511</v>
      </c>
      <c s="1852" t="s">
        <v>4090</v>
      </c>
      <c s="1852" t="s">
        <v>22</v>
      </c>
      <c s="1852" t="s">
        <v>854</v>
      </c>
    </row>
    <row r="703" spans="1:9" ht="11.25" customHeight="1">
      <c r="A703" s="1852" t="s">
        <v>2247</v>
      </c>
      <c s="1852" t="s">
        <v>16</v>
      </c>
      <c s="1852" t="s">
        <v>4091</v>
      </c>
      <c s="1852" t="s">
        <v>4092</v>
      </c>
      <c s="1852" t="s">
        <v>4093</v>
      </c>
      <c s="1852" t="s">
        <v>3636</v>
      </c>
      <c s="1852" t="s">
        <v>4094</v>
      </c>
      <c s="1852" t="s">
        <v>22</v>
      </c>
      <c s="1852" t="s">
        <v>854</v>
      </c>
    </row>
    <row r="704" spans="1:9" ht="11.25" customHeight="1">
      <c r="A704" s="1852" t="s">
        <v>2247</v>
      </c>
      <c s="1852" t="s">
        <v>16</v>
      </c>
      <c s="1852" t="s">
        <v>2672</v>
      </c>
      <c s="1852" t="s">
        <v>2673</v>
      </c>
      <c s="1852" t="s">
        <v>2674</v>
      </c>
      <c s="1852" t="s">
        <v>2675</v>
      </c>
      <c s="1852" t="s">
        <v>2676</v>
      </c>
      <c s="1852" t="s">
        <v>22</v>
      </c>
      <c s="1852" t="s">
        <v>854</v>
      </c>
    </row>
    <row r="705" spans="1:9" ht="11.25" customHeight="1">
      <c r="A705" s="1852" t="s">
        <v>2247</v>
      </c>
      <c s="1852" t="s">
        <v>16</v>
      </c>
      <c s="1852" t="s">
        <v>4095</v>
      </c>
      <c s="1852" t="s">
        <v>4096</v>
      </c>
      <c s="1852" t="s">
        <v>4097</v>
      </c>
      <c s="1852" t="s">
        <v>2604</v>
      </c>
      <c s="1852" t="s">
        <v>4098</v>
      </c>
      <c s="1852" t="s">
        <v>22</v>
      </c>
      <c s="1852" t="s">
        <v>854</v>
      </c>
    </row>
    <row r="706" spans="1:9" ht="11.25" customHeight="1">
      <c r="A706" s="1852" t="s">
        <v>2247</v>
      </c>
      <c s="1852" t="s">
        <v>16</v>
      </c>
      <c s="1852" t="s">
        <v>4099</v>
      </c>
      <c s="1852" t="s">
        <v>4100</v>
      </c>
      <c s="1852" t="s">
        <v>4101</v>
      </c>
      <c s="1852" t="s">
        <v>2399</v>
      </c>
      <c s="1852" t="s">
        <v>4102</v>
      </c>
      <c s="1852" t="s">
        <v>22</v>
      </c>
      <c s="1852" t="s">
        <v>854</v>
      </c>
    </row>
    <row r="707" spans="1:9" ht="11.25" customHeight="1">
      <c r="A707" s="1852" t="s">
        <v>2247</v>
      </c>
      <c s="1852" t="s">
        <v>16</v>
      </c>
      <c s="1852" t="s">
        <v>4103</v>
      </c>
      <c s="1852" t="s">
        <v>4104</v>
      </c>
      <c s="1852" t="s">
        <v>4105</v>
      </c>
      <c s="1852" t="s">
        <v>2419</v>
      </c>
      <c s="1852" t="s">
        <v>4106</v>
      </c>
      <c s="1852" t="s">
        <v>22</v>
      </c>
      <c s="1852" t="s">
        <v>854</v>
      </c>
    </row>
    <row r="708" spans="1:9" ht="11.25" customHeight="1">
      <c r="A708" s="1852" t="s">
        <v>2247</v>
      </c>
      <c s="1852" t="s">
        <v>16</v>
      </c>
      <c s="1852" t="s">
        <v>4107</v>
      </c>
      <c s="1852" t="s">
        <v>4108</v>
      </c>
      <c s="1852" t="s">
        <v>4109</v>
      </c>
      <c s="1852" t="s">
        <v>3241</v>
      </c>
      <c s="1852" t="s">
        <v>4110</v>
      </c>
      <c s="1852" t="s">
        <v>22</v>
      </c>
      <c s="1852" t="s">
        <v>854</v>
      </c>
    </row>
    <row r="709" spans="1:9" ht="11.25" customHeight="1">
      <c r="A709" s="1852" t="s">
        <v>2247</v>
      </c>
      <c s="1852" t="s">
        <v>16</v>
      </c>
      <c s="1852" t="s">
        <v>4111</v>
      </c>
      <c s="1852" t="s">
        <v>4112</v>
      </c>
      <c s="1852" t="s">
        <v>4113</v>
      </c>
      <c s="1852" t="s">
        <v>2612</v>
      </c>
      <c s="1852" t="s">
        <v>4114</v>
      </c>
      <c s="1852" t="s">
        <v>22</v>
      </c>
      <c s="1852" t="s">
        <v>854</v>
      </c>
    </row>
    <row r="710" spans="1:9" ht="11.25" customHeight="1">
      <c r="A710" s="1852" t="s">
        <v>2247</v>
      </c>
      <c s="1852" t="s">
        <v>16</v>
      </c>
      <c s="1852" t="s">
        <v>4115</v>
      </c>
      <c s="1852" t="s">
        <v>4116</v>
      </c>
      <c s="1852" t="s">
        <v>4117</v>
      </c>
      <c s="1852" t="s">
        <v>2691</v>
      </c>
      <c s="1852" t="s">
        <v>4118</v>
      </c>
      <c s="1852" t="s">
        <v>22</v>
      </c>
      <c s="1852" t="s">
        <v>854</v>
      </c>
    </row>
    <row r="711" spans="1:9" ht="11.25" customHeight="1">
      <c r="A711" s="1852" t="s">
        <v>2247</v>
      </c>
      <c s="1852" t="s">
        <v>16</v>
      </c>
      <c s="1852" t="s">
        <v>4119</v>
      </c>
      <c s="1852" t="s">
        <v>4120</v>
      </c>
      <c s="1852" t="s">
        <v>4121</v>
      </c>
      <c s="1852" t="s">
        <v>2612</v>
      </c>
      <c s="1852" t="s">
        <v>4122</v>
      </c>
      <c s="1852" t="s">
        <v>22</v>
      </c>
      <c s="1852" t="s">
        <v>854</v>
      </c>
    </row>
    <row r="712" spans="1:9" ht="11.25" customHeight="1">
      <c r="A712" s="1852" t="s">
        <v>2247</v>
      </c>
      <c s="1852" t="s">
        <v>16</v>
      </c>
      <c s="1852" t="s">
        <v>4123</v>
      </c>
      <c s="1852" t="s">
        <v>4124</v>
      </c>
      <c s="1852" t="s">
        <v>4125</v>
      </c>
      <c s="1852" t="s">
        <v>2467</v>
      </c>
      <c s="1852" t="s">
        <v>4126</v>
      </c>
      <c s="1852" t="s">
        <v>22</v>
      </c>
      <c s="1852" t="s">
        <v>854</v>
      </c>
    </row>
    <row r="713" spans="1:9" ht="11.25" customHeight="1">
      <c r="A713" s="1852" t="s">
        <v>2247</v>
      </c>
      <c s="1852" t="s">
        <v>16</v>
      </c>
      <c s="1852" t="s">
        <v>2717</v>
      </c>
      <c s="1852" t="s">
        <v>2718</v>
      </c>
      <c s="1852" t="s">
        <v>2719</v>
      </c>
      <c s="1852" t="s">
        <v>2584</v>
      </c>
      <c s="1852" t="s">
        <v>22</v>
      </c>
      <c s="1852" t="s">
        <v>22</v>
      </c>
      <c s="1852" t="s">
        <v>854</v>
      </c>
    </row>
    <row r="714" spans="1:9" ht="11.25" customHeight="1">
      <c r="A714" s="1852" t="s">
        <v>2247</v>
      </c>
      <c s="1852" t="s">
        <v>16</v>
      </c>
      <c s="1852" t="s">
        <v>4127</v>
      </c>
      <c s="1852" t="s">
        <v>4128</v>
      </c>
      <c s="1852" t="s">
        <v>4129</v>
      </c>
      <c s="1852" t="s">
        <v>2604</v>
      </c>
      <c s="1852" t="s">
        <v>4071</v>
      </c>
      <c s="1852" t="s">
        <v>22</v>
      </c>
      <c s="1852" t="s">
        <v>854</v>
      </c>
    </row>
    <row r="715" spans="1:9" ht="11.25" customHeight="1">
      <c r="A715" s="1852" t="s">
        <v>2247</v>
      </c>
      <c s="1852" t="s">
        <v>16</v>
      </c>
      <c s="1852" t="s">
        <v>4130</v>
      </c>
      <c s="1852" t="s">
        <v>4131</v>
      </c>
      <c s="1852" t="s">
        <v>4132</v>
      </c>
      <c s="1852" t="s">
        <v>2636</v>
      </c>
      <c s="1852" t="s">
        <v>4133</v>
      </c>
      <c s="1852" t="s">
        <v>22</v>
      </c>
      <c s="1852" t="s">
        <v>854</v>
      </c>
    </row>
    <row r="716" spans="1:9" ht="11.25" customHeight="1">
      <c r="A716" s="1852" t="s">
        <v>2247</v>
      </c>
      <c s="1852" t="s">
        <v>16</v>
      </c>
      <c s="1852" t="s">
        <v>4134</v>
      </c>
      <c s="1852" t="s">
        <v>4135</v>
      </c>
      <c s="1852" t="s">
        <v>4136</v>
      </c>
      <c s="1852" t="s">
        <v>2604</v>
      </c>
      <c s="1852" t="s">
        <v>4137</v>
      </c>
      <c s="1852" t="s">
        <v>22</v>
      </c>
      <c s="1852" t="s">
        <v>854</v>
      </c>
    </row>
    <row r="717" spans="1:9" ht="11.25" customHeight="1">
      <c r="A717" s="1852" t="s">
        <v>2247</v>
      </c>
      <c s="1852" t="s">
        <v>16</v>
      </c>
      <c s="1852" t="s">
        <v>4138</v>
      </c>
      <c s="1852" t="s">
        <v>4139</v>
      </c>
      <c s="1852" t="s">
        <v>4140</v>
      </c>
      <c s="1852" t="s">
        <v>2691</v>
      </c>
      <c s="1852" t="s">
        <v>4141</v>
      </c>
      <c s="1852" t="s">
        <v>22</v>
      </c>
      <c s="1852" t="s">
        <v>854</v>
      </c>
    </row>
    <row r="718" spans="1:9" ht="11.25" customHeight="1">
      <c r="A718" s="1852" t="s">
        <v>2247</v>
      </c>
      <c s="1852" t="s">
        <v>16</v>
      </c>
      <c s="1852" t="s">
        <v>4142</v>
      </c>
      <c s="1852" t="s">
        <v>4143</v>
      </c>
      <c s="1852" t="s">
        <v>4144</v>
      </c>
      <c s="1852" t="s">
        <v>51</v>
      </c>
      <c s="1852" t="s">
        <v>4145</v>
      </c>
      <c s="1852" t="s">
        <v>22</v>
      </c>
      <c s="1852" t="s">
        <v>854</v>
      </c>
    </row>
    <row r="719" spans="1:9" ht="11.25" customHeight="1">
      <c r="A719" s="1852" t="s">
        <v>2247</v>
      </c>
      <c s="1852" t="s">
        <v>16</v>
      </c>
      <c s="1852" t="s">
        <v>4146</v>
      </c>
      <c s="1852" t="s">
        <v>4147</v>
      </c>
      <c s="1852" t="s">
        <v>4148</v>
      </c>
      <c s="1852" t="s">
        <v>2399</v>
      </c>
      <c s="1852" t="s">
        <v>4064</v>
      </c>
      <c s="1852" t="s">
        <v>22</v>
      </c>
      <c s="1852" t="s">
        <v>854</v>
      </c>
    </row>
    <row r="720" spans="1:9" ht="11.25" customHeight="1">
      <c r="A720" s="1852" t="s">
        <v>2247</v>
      </c>
      <c s="1852" t="s">
        <v>16</v>
      </c>
      <c s="1852" t="s">
        <v>4149</v>
      </c>
      <c s="1852" t="s">
        <v>4150</v>
      </c>
      <c s="1852" t="s">
        <v>4151</v>
      </c>
      <c s="1852" t="s">
        <v>2604</v>
      </c>
      <c s="1852" t="s">
        <v>4152</v>
      </c>
      <c s="1852" t="s">
        <v>22</v>
      </c>
      <c s="1852" t="s">
        <v>854</v>
      </c>
    </row>
    <row r="721" spans="1:9" ht="11.25" customHeight="1">
      <c r="A721" s="1852" t="s">
        <v>2247</v>
      </c>
      <c s="1852" t="s">
        <v>16</v>
      </c>
      <c s="1852" t="s">
        <v>4153</v>
      </c>
      <c s="1852" t="s">
        <v>4154</v>
      </c>
      <c s="1852" t="s">
        <v>4155</v>
      </c>
      <c s="1852" t="s">
        <v>2691</v>
      </c>
      <c s="1852" t="s">
        <v>4156</v>
      </c>
      <c s="1852" t="s">
        <v>22</v>
      </c>
      <c s="1852" t="s">
        <v>854</v>
      </c>
    </row>
    <row r="722" spans="1:9" ht="11.25" customHeight="1">
      <c r="A722" s="1852" t="s">
        <v>2247</v>
      </c>
      <c s="1852" t="s">
        <v>16</v>
      </c>
      <c s="1852" t="s">
        <v>4157</v>
      </c>
      <c s="1852" t="s">
        <v>4158</v>
      </c>
      <c s="1852" t="s">
        <v>4159</v>
      </c>
      <c s="1852" t="s">
        <v>2648</v>
      </c>
      <c s="1852" t="s">
        <v>4160</v>
      </c>
      <c s="1852" t="s">
        <v>22</v>
      </c>
      <c s="1852" t="s">
        <v>854</v>
      </c>
    </row>
    <row r="723" spans="1:9" ht="11.25" customHeight="1">
      <c r="A723" s="1852" t="s">
        <v>2247</v>
      </c>
      <c s="1852" t="s">
        <v>16</v>
      </c>
      <c s="1852" t="s">
        <v>4161</v>
      </c>
      <c s="1852" t="s">
        <v>4162</v>
      </c>
      <c s="1852" t="s">
        <v>4163</v>
      </c>
      <c s="1852" t="s">
        <v>2272</v>
      </c>
      <c s="1852" t="s">
        <v>4164</v>
      </c>
      <c s="1852" t="s">
        <v>22</v>
      </c>
      <c s="1852" t="s">
        <v>854</v>
      </c>
    </row>
    <row r="724" spans="1:9" ht="11.25" customHeight="1">
      <c r="A724" s="1852" t="s">
        <v>2247</v>
      </c>
      <c s="1852" t="s">
        <v>16</v>
      </c>
      <c s="1852" t="s">
        <v>4165</v>
      </c>
      <c s="1852" t="s">
        <v>4166</v>
      </c>
      <c s="1852" t="s">
        <v>4167</v>
      </c>
      <c s="1852" t="s">
        <v>2988</v>
      </c>
      <c s="1852" t="s">
        <v>4168</v>
      </c>
      <c s="1852" t="s">
        <v>22</v>
      </c>
      <c s="1852" t="s">
        <v>854</v>
      </c>
    </row>
    <row r="725" spans="1:9" ht="11.25" customHeight="1">
      <c r="A725" s="1852" t="s">
        <v>2247</v>
      </c>
      <c s="1852" t="s">
        <v>16</v>
      </c>
      <c s="1852" t="s">
        <v>4169</v>
      </c>
      <c s="1852" t="s">
        <v>4170</v>
      </c>
      <c s="1852" t="s">
        <v>4171</v>
      </c>
      <c s="1852" t="s">
        <v>2399</v>
      </c>
      <c s="1852" t="s">
        <v>4172</v>
      </c>
      <c s="1852" t="s">
        <v>22</v>
      </c>
      <c s="1852" t="s">
        <v>854</v>
      </c>
    </row>
    <row r="726" spans="1:9" ht="11.25" customHeight="1">
      <c r="A726" s="1852" t="s">
        <v>2247</v>
      </c>
      <c s="1852" t="s">
        <v>16</v>
      </c>
      <c s="1852" t="s">
        <v>4173</v>
      </c>
      <c s="1852" t="s">
        <v>4174</v>
      </c>
      <c s="1852" t="s">
        <v>4175</v>
      </c>
      <c s="1852" t="s">
        <v>2691</v>
      </c>
      <c s="1852" t="s">
        <v>4176</v>
      </c>
      <c s="1852" t="s">
        <v>22</v>
      </c>
      <c s="1852" t="s">
        <v>854</v>
      </c>
    </row>
    <row r="727" spans="1:9" ht="11.25" customHeight="1">
      <c r="A727" s="1852" t="s">
        <v>2247</v>
      </c>
      <c s="1852" t="s">
        <v>16</v>
      </c>
      <c s="1852" t="s">
        <v>4177</v>
      </c>
      <c s="1852" t="s">
        <v>4178</v>
      </c>
      <c s="1852" t="s">
        <v>4179</v>
      </c>
      <c s="1852" t="s">
        <v>2604</v>
      </c>
      <c s="1852" t="s">
        <v>4180</v>
      </c>
      <c s="1852" t="s">
        <v>22</v>
      </c>
      <c s="1852" t="s">
        <v>854</v>
      </c>
    </row>
    <row r="728" spans="1:9" ht="11.25" customHeight="1">
      <c r="A728" s="1852" t="s">
        <v>2247</v>
      </c>
      <c s="1852" t="s">
        <v>16</v>
      </c>
      <c s="1852" t="s">
        <v>4181</v>
      </c>
      <c s="1852" t="s">
        <v>4182</v>
      </c>
      <c s="1852" t="s">
        <v>4183</v>
      </c>
      <c s="1852" t="s">
        <v>2988</v>
      </c>
      <c s="1852" t="s">
        <v>4184</v>
      </c>
      <c s="1852" t="s">
        <v>22</v>
      </c>
      <c s="1852" t="s">
        <v>854</v>
      </c>
    </row>
    <row r="729" spans="1:9" ht="11.25" customHeight="1">
      <c r="A729" s="1852" t="s">
        <v>2247</v>
      </c>
      <c s="1852" t="s">
        <v>16</v>
      </c>
      <c s="1852" t="s">
        <v>4185</v>
      </c>
      <c s="1852" t="s">
        <v>4186</v>
      </c>
      <c s="1852" t="s">
        <v>4187</v>
      </c>
      <c s="1852" t="s">
        <v>2691</v>
      </c>
      <c s="1852" t="s">
        <v>4188</v>
      </c>
      <c s="1852" t="s">
        <v>22</v>
      </c>
      <c s="1852" t="s">
        <v>854</v>
      </c>
    </row>
    <row r="730" spans="1:9" ht="11.25" customHeight="1">
      <c r="A730" s="1852" t="s">
        <v>2247</v>
      </c>
      <c s="1852" t="s">
        <v>16</v>
      </c>
      <c s="1852" t="s">
        <v>4189</v>
      </c>
      <c s="1852" t="s">
        <v>4190</v>
      </c>
      <c s="1852" t="s">
        <v>4191</v>
      </c>
      <c s="1852" t="s">
        <v>2399</v>
      </c>
      <c s="1852" t="s">
        <v>4192</v>
      </c>
      <c s="1852" t="s">
        <v>22</v>
      </c>
      <c s="1852" t="s">
        <v>854</v>
      </c>
    </row>
    <row r="731" spans="1:9" ht="11.25" customHeight="1">
      <c r="A731" s="1852" t="s">
        <v>2247</v>
      </c>
      <c s="1852" t="s">
        <v>16</v>
      </c>
      <c s="1852" t="s">
        <v>4193</v>
      </c>
      <c s="1852" t="s">
        <v>4194</v>
      </c>
      <c s="1852" t="s">
        <v>4195</v>
      </c>
      <c s="1852" t="s">
        <v>2399</v>
      </c>
      <c s="1852" t="s">
        <v>4196</v>
      </c>
      <c s="1852" t="s">
        <v>22</v>
      </c>
      <c s="1852" t="s">
        <v>854</v>
      </c>
    </row>
    <row r="732" spans="1:9" ht="11.25" customHeight="1">
      <c r="A732" s="1852" t="s">
        <v>2247</v>
      </c>
      <c s="1852" t="s">
        <v>16</v>
      </c>
      <c s="1852" t="s">
        <v>4197</v>
      </c>
      <c s="1852" t="s">
        <v>4198</v>
      </c>
      <c s="1852" t="s">
        <v>4199</v>
      </c>
      <c s="1852" t="s">
        <v>2403</v>
      </c>
      <c s="1852" t="s">
        <v>22</v>
      </c>
      <c s="1852" t="s">
        <v>22</v>
      </c>
      <c s="1852" t="s">
        <v>854</v>
      </c>
    </row>
    <row r="733" spans="1:9" ht="11.25" customHeight="1">
      <c r="A733" s="1852" t="s">
        <v>2247</v>
      </c>
      <c s="1852" t="s">
        <v>16</v>
      </c>
      <c s="1852" t="s">
        <v>4200</v>
      </c>
      <c s="1852" t="s">
        <v>4201</v>
      </c>
      <c s="1852" t="s">
        <v>4202</v>
      </c>
      <c s="1852" t="s">
        <v>2988</v>
      </c>
      <c s="1852" t="s">
        <v>4203</v>
      </c>
      <c s="1852" t="s">
        <v>22</v>
      </c>
      <c s="1852" t="s">
        <v>854</v>
      </c>
    </row>
    <row r="734" spans="1:9" ht="11.25" customHeight="1">
      <c r="A734" s="1852" t="s">
        <v>2247</v>
      </c>
      <c s="1852" t="s">
        <v>16</v>
      </c>
      <c s="1852" t="s">
        <v>2733</v>
      </c>
      <c s="1852" t="s">
        <v>2734</v>
      </c>
      <c s="1852" t="s">
        <v>2735</v>
      </c>
      <c s="1852" t="s">
        <v>2584</v>
      </c>
      <c s="1852" t="s">
        <v>22</v>
      </c>
      <c s="1852" t="s">
        <v>22</v>
      </c>
      <c s="1852" t="s">
        <v>854</v>
      </c>
    </row>
    <row r="735" spans="1:9" ht="11.25" customHeight="1">
      <c r="A735" s="1852" t="s">
        <v>2247</v>
      </c>
      <c s="1852" t="s">
        <v>16</v>
      </c>
      <c s="1852" t="s">
        <v>4204</v>
      </c>
      <c s="1852" t="s">
        <v>4205</v>
      </c>
      <c s="1852" t="s">
        <v>4206</v>
      </c>
      <c s="1852" t="s">
        <v>2399</v>
      </c>
      <c s="1852" t="s">
        <v>4207</v>
      </c>
      <c s="1852" t="s">
        <v>22</v>
      </c>
      <c s="1852" t="s">
        <v>854</v>
      </c>
    </row>
    <row r="736" spans="1:9" ht="11.25" customHeight="1">
      <c r="A736" s="1852" t="s">
        <v>2247</v>
      </c>
      <c s="1852" t="s">
        <v>16</v>
      </c>
      <c s="1852" t="s">
        <v>4208</v>
      </c>
      <c s="1852" t="s">
        <v>4209</v>
      </c>
      <c s="1852" t="s">
        <v>4210</v>
      </c>
      <c s="1852" t="s">
        <v>2648</v>
      </c>
      <c s="1852" t="s">
        <v>4211</v>
      </c>
      <c s="1852" t="s">
        <v>22</v>
      </c>
      <c s="1852" t="s">
        <v>854</v>
      </c>
    </row>
    <row r="737" spans="1:9" ht="11.25" customHeight="1">
      <c r="A737" s="1852" t="s">
        <v>2247</v>
      </c>
      <c s="1852" t="s">
        <v>16</v>
      </c>
      <c s="1852" t="s">
        <v>4212</v>
      </c>
      <c s="1852" t="s">
        <v>4213</v>
      </c>
      <c s="1852" t="s">
        <v>4214</v>
      </c>
      <c s="1852" t="s">
        <v>2403</v>
      </c>
      <c s="1852" t="s">
        <v>22</v>
      </c>
      <c s="1852" t="s">
        <v>22</v>
      </c>
      <c s="1852" t="s">
        <v>854</v>
      </c>
    </row>
    <row r="738" spans="1:9" ht="11.25" customHeight="1">
      <c r="A738" s="1852" t="s">
        <v>2247</v>
      </c>
      <c s="1852" t="s">
        <v>16</v>
      </c>
      <c s="1852" t="s">
        <v>2743</v>
      </c>
      <c s="1852" t="s">
        <v>2744</v>
      </c>
      <c s="1852" t="s">
        <v>2745</v>
      </c>
      <c s="1852" t="s">
        <v>2746</v>
      </c>
      <c s="1852" t="s">
        <v>2747</v>
      </c>
      <c s="1852" t="s">
        <v>22</v>
      </c>
      <c s="1852" t="s">
        <v>854</v>
      </c>
    </row>
    <row r="739" spans="1:9" ht="11.25" customHeight="1">
      <c r="A739" s="1852" t="s">
        <v>2247</v>
      </c>
      <c s="1852" t="s">
        <v>16</v>
      </c>
      <c s="1852" t="s">
        <v>4215</v>
      </c>
      <c s="1852" t="s">
        <v>4216</v>
      </c>
      <c s="1852" t="s">
        <v>4217</v>
      </c>
      <c s="1852" t="s">
        <v>2708</v>
      </c>
      <c s="1852" t="s">
        <v>4218</v>
      </c>
      <c s="1852" t="s">
        <v>22</v>
      </c>
      <c s="1852" t="s">
        <v>854</v>
      </c>
    </row>
    <row r="740" spans="1:9" ht="11.25" customHeight="1">
      <c r="A740" s="1852" t="s">
        <v>2247</v>
      </c>
      <c s="1852" t="s">
        <v>16</v>
      </c>
      <c s="1852" t="s">
        <v>2748</v>
      </c>
      <c s="1852" t="s">
        <v>2749</v>
      </c>
      <c s="1852" t="s">
        <v>2750</v>
      </c>
      <c s="1852" t="s">
        <v>2620</v>
      </c>
      <c s="1852" t="s">
        <v>22</v>
      </c>
      <c s="1852" t="s">
        <v>22</v>
      </c>
      <c s="1852" t="s">
        <v>854</v>
      </c>
    </row>
    <row r="741" spans="1:9" ht="11.25" customHeight="1">
      <c r="A741" s="1852" t="s">
        <v>2247</v>
      </c>
      <c s="1852" t="s">
        <v>16</v>
      </c>
      <c s="1852" t="s">
        <v>2751</v>
      </c>
      <c s="1852" t="s">
        <v>2752</v>
      </c>
      <c s="1852" t="s">
        <v>2753</v>
      </c>
      <c s="1852" t="s">
        <v>2265</v>
      </c>
      <c s="1852" t="s">
        <v>22</v>
      </c>
      <c s="1852" t="s">
        <v>22</v>
      </c>
      <c s="1852" t="s">
        <v>854</v>
      </c>
    </row>
    <row r="742" spans="1:9" ht="11.25" customHeight="1">
      <c r="A742" s="1852" t="s">
        <v>2247</v>
      </c>
      <c s="1852" t="s">
        <v>16</v>
      </c>
      <c s="1852" t="s">
        <v>4219</v>
      </c>
      <c s="1852" t="s">
        <v>4220</v>
      </c>
      <c s="1852" t="s">
        <v>4221</v>
      </c>
      <c s="1852" t="s">
        <v>2691</v>
      </c>
      <c s="1852" t="s">
        <v>4222</v>
      </c>
      <c s="1852" t="s">
        <v>22</v>
      </c>
      <c s="1852" t="s">
        <v>854</v>
      </c>
    </row>
    <row r="743" spans="1:9" ht="11.25" customHeight="1">
      <c r="A743" s="1852" t="s">
        <v>2247</v>
      </c>
      <c s="1852" t="s">
        <v>16</v>
      </c>
      <c s="1852" t="s">
        <v>2754</v>
      </c>
      <c s="1852" t="s">
        <v>2755</v>
      </c>
      <c s="1852" t="s">
        <v>2756</v>
      </c>
      <c s="1852" t="s">
        <v>2403</v>
      </c>
      <c s="1852" t="s">
        <v>22</v>
      </c>
      <c s="1852" t="s">
        <v>22</v>
      </c>
      <c s="1852" t="s">
        <v>854</v>
      </c>
    </row>
    <row r="744" spans="1:9" ht="11.25" customHeight="1">
      <c r="A744" s="1852" t="s">
        <v>2247</v>
      </c>
      <c s="1852" t="s">
        <v>16</v>
      </c>
      <c s="1852" t="s">
        <v>4223</v>
      </c>
      <c s="1852" t="s">
        <v>4224</v>
      </c>
      <c s="1852" t="s">
        <v>4225</v>
      </c>
      <c s="1852" t="s">
        <v>2286</v>
      </c>
      <c s="1852" t="s">
        <v>22</v>
      </c>
      <c s="1852" t="s">
        <v>22</v>
      </c>
      <c s="1852" t="s">
        <v>854</v>
      </c>
    </row>
    <row r="745" spans="1:9" ht="11.25" customHeight="1">
      <c r="A745" s="1852" t="s">
        <v>2247</v>
      </c>
      <c s="1852" t="s">
        <v>16</v>
      </c>
      <c s="1852" t="s">
        <v>4226</v>
      </c>
      <c s="1852" t="s">
        <v>4227</v>
      </c>
      <c s="1852" t="s">
        <v>4228</v>
      </c>
      <c s="1852" t="s">
        <v>2403</v>
      </c>
      <c s="1852" t="s">
        <v>22</v>
      </c>
      <c s="1852" t="s">
        <v>22</v>
      </c>
      <c s="1852" t="s">
        <v>854</v>
      </c>
    </row>
    <row r="746" spans="1:9" ht="11.25" customHeight="1">
      <c r="A746" s="1852" t="s">
        <v>2247</v>
      </c>
      <c s="1852" t="s">
        <v>16</v>
      </c>
      <c s="1852" t="s">
        <v>2761</v>
      </c>
      <c s="1852" t="s">
        <v>2762</v>
      </c>
      <c s="1852" t="s">
        <v>2763</v>
      </c>
      <c s="1852" t="s">
        <v>2731</v>
      </c>
      <c s="1852" t="s">
        <v>2764</v>
      </c>
      <c s="1852" t="s">
        <v>22</v>
      </c>
      <c s="1852" t="s">
        <v>854</v>
      </c>
    </row>
    <row r="747" spans="1:9" ht="11.25" customHeight="1">
      <c r="A747" s="1852" t="s">
        <v>2247</v>
      </c>
      <c s="1852" t="s">
        <v>16</v>
      </c>
      <c s="1852" t="s">
        <v>4229</v>
      </c>
      <c s="1852" t="s">
        <v>4230</v>
      </c>
      <c s="1852" t="s">
        <v>4231</v>
      </c>
      <c s="1852" t="s">
        <v>2691</v>
      </c>
      <c s="1852" t="s">
        <v>4176</v>
      </c>
      <c s="1852" t="s">
        <v>22</v>
      </c>
      <c s="1852" t="s">
        <v>854</v>
      </c>
    </row>
    <row r="748" spans="1:9" ht="11.25" customHeight="1">
      <c r="A748" s="1852" t="s">
        <v>2247</v>
      </c>
      <c s="1852" t="s">
        <v>16</v>
      </c>
      <c s="1852" t="s">
        <v>2765</v>
      </c>
      <c s="1852" t="s">
        <v>2766</v>
      </c>
      <c s="1852" t="s">
        <v>2767</v>
      </c>
      <c s="1852" t="s">
        <v>2675</v>
      </c>
      <c s="1852" t="s">
        <v>2768</v>
      </c>
      <c s="1852" t="s">
        <v>22</v>
      </c>
      <c s="1852" t="s">
        <v>854</v>
      </c>
    </row>
    <row r="749" spans="1:9" ht="11.25" customHeight="1">
      <c r="A749" s="1852" t="s">
        <v>2247</v>
      </c>
      <c s="1852" t="s">
        <v>16</v>
      </c>
      <c s="1852" t="s">
        <v>4232</v>
      </c>
      <c s="1852" t="s">
        <v>4233</v>
      </c>
      <c s="1852" t="s">
        <v>4234</v>
      </c>
      <c s="1852" t="s">
        <v>2338</v>
      </c>
      <c s="1852" t="s">
        <v>4106</v>
      </c>
      <c s="1852" t="s">
        <v>22</v>
      </c>
      <c s="1852" t="s">
        <v>854</v>
      </c>
    </row>
    <row r="750" spans="1:9" ht="11.25" customHeight="1">
      <c r="A750" s="1852" t="s">
        <v>2247</v>
      </c>
      <c s="1852" t="s">
        <v>16</v>
      </c>
      <c s="1852" t="s">
        <v>4235</v>
      </c>
      <c s="1852" t="s">
        <v>4236</v>
      </c>
      <c s="1852" t="s">
        <v>4237</v>
      </c>
      <c s="1852" t="s">
        <v>3636</v>
      </c>
      <c s="1852" t="s">
        <v>4238</v>
      </c>
      <c s="1852" t="s">
        <v>22</v>
      </c>
      <c s="1852" t="s">
        <v>854</v>
      </c>
    </row>
    <row r="751" spans="1:9" ht="11.25" customHeight="1">
      <c r="A751" s="1852" t="s">
        <v>2247</v>
      </c>
      <c s="1852" t="s">
        <v>16</v>
      </c>
      <c s="1852" t="s">
        <v>4239</v>
      </c>
      <c s="1852" t="s">
        <v>4240</v>
      </c>
      <c s="1852" t="s">
        <v>4241</v>
      </c>
      <c s="1852" t="s">
        <v>2731</v>
      </c>
      <c s="1852" t="s">
        <v>4242</v>
      </c>
      <c s="1852" t="s">
        <v>22</v>
      </c>
      <c s="1852" t="s">
        <v>854</v>
      </c>
    </row>
    <row r="752" spans="1:9" ht="11.25" customHeight="1">
      <c r="A752" s="1852" t="s">
        <v>2247</v>
      </c>
      <c s="1852" t="s">
        <v>16</v>
      </c>
      <c s="1852" t="s">
        <v>2769</v>
      </c>
      <c s="1852" t="s">
        <v>2770</v>
      </c>
      <c s="1852" t="s">
        <v>2771</v>
      </c>
      <c s="1852" t="s">
        <v>2411</v>
      </c>
      <c s="1852" t="s">
        <v>22</v>
      </c>
      <c s="1852" t="s">
        <v>22</v>
      </c>
      <c s="1852" t="s">
        <v>854</v>
      </c>
    </row>
    <row r="753" spans="1:9" ht="11.25" customHeight="1">
      <c r="A753" s="1852" t="s">
        <v>2247</v>
      </c>
      <c s="1852" t="s">
        <v>16</v>
      </c>
      <c s="1852" t="s">
        <v>4243</v>
      </c>
      <c s="1852" t="s">
        <v>4244</v>
      </c>
      <c s="1852" t="s">
        <v>4245</v>
      </c>
      <c s="1852" t="s">
        <v>2253</v>
      </c>
      <c s="1852" t="s">
        <v>22</v>
      </c>
      <c s="1852" t="s">
        <v>22</v>
      </c>
      <c s="1852" t="s">
        <v>854</v>
      </c>
    </row>
    <row r="754" spans="1:9" ht="11.25" customHeight="1">
      <c r="A754" s="1852" t="s">
        <v>2247</v>
      </c>
      <c s="1852" t="s">
        <v>16</v>
      </c>
      <c s="1852" t="s">
        <v>4246</v>
      </c>
      <c s="1852" t="s">
        <v>4247</v>
      </c>
      <c s="1852" t="s">
        <v>4248</v>
      </c>
      <c s="1852" t="s">
        <v>2262</v>
      </c>
      <c s="1852" t="s">
        <v>22</v>
      </c>
      <c s="1852" t="s">
        <v>22</v>
      </c>
      <c s="1852" t="s">
        <v>854</v>
      </c>
    </row>
    <row r="755" spans="1:9" ht="11.25" customHeight="1">
      <c r="A755" s="1852" t="s">
        <v>2247</v>
      </c>
      <c s="1852" t="s">
        <v>16</v>
      </c>
      <c s="1852" t="s">
        <v>2775</v>
      </c>
      <c s="1852" t="s">
        <v>2776</v>
      </c>
      <c s="1852" t="s">
        <v>2777</v>
      </c>
      <c s="1852" t="s">
        <v>51</v>
      </c>
      <c s="1852" t="s">
        <v>2778</v>
      </c>
      <c s="1852" t="s">
        <v>22</v>
      </c>
      <c s="1852" t="s">
        <v>854</v>
      </c>
    </row>
    <row r="756" spans="1:9" ht="11.25" customHeight="1">
      <c r="A756" s="1852" t="s">
        <v>2247</v>
      </c>
      <c s="1852" t="s">
        <v>16</v>
      </c>
      <c s="1852" t="s">
        <v>4249</v>
      </c>
      <c s="1852" t="s">
        <v>4250</v>
      </c>
      <c s="1852" t="s">
        <v>4251</v>
      </c>
      <c s="1852" t="s">
        <v>2477</v>
      </c>
      <c s="1852" t="s">
        <v>4252</v>
      </c>
      <c s="1852" t="s">
        <v>22</v>
      </c>
      <c s="1852" t="s">
        <v>854</v>
      </c>
    </row>
    <row r="757" spans="1:9" ht="11.25" customHeight="1">
      <c r="A757" s="1852" t="s">
        <v>2247</v>
      </c>
      <c s="1852" t="s">
        <v>16</v>
      </c>
      <c s="1852" t="s">
        <v>4253</v>
      </c>
      <c s="1852" t="s">
        <v>4254</v>
      </c>
      <c s="1852" t="s">
        <v>4255</v>
      </c>
      <c s="1852" t="s">
        <v>2648</v>
      </c>
      <c s="1852" t="s">
        <v>4256</v>
      </c>
      <c s="1852" t="s">
        <v>22</v>
      </c>
      <c s="1852" t="s">
        <v>854</v>
      </c>
    </row>
    <row r="758" spans="1:9" ht="11.25" customHeight="1">
      <c r="A758" s="1852" t="s">
        <v>2247</v>
      </c>
      <c s="1852" t="s">
        <v>16</v>
      </c>
      <c s="1852" t="s">
        <v>2788</v>
      </c>
      <c s="1852" t="s">
        <v>2789</v>
      </c>
      <c s="1852" t="s">
        <v>2790</v>
      </c>
      <c s="1852" t="s">
        <v>2281</v>
      </c>
      <c s="1852" t="s">
        <v>22</v>
      </c>
      <c s="1852" t="s">
        <v>22</v>
      </c>
      <c s="1852" t="s">
        <v>854</v>
      </c>
    </row>
    <row r="759" spans="1:9" ht="11.25" customHeight="1">
      <c r="A759" s="1852" t="s">
        <v>2247</v>
      </c>
      <c s="1852" t="s">
        <v>16</v>
      </c>
      <c s="1852" t="s">
        <v>4257</v>
      </c>
      <c s="1852" t="s">
        <v>4258</v>
      </c>
      <c s="1852" t="s">
        <v>4259</v>
      </c>
      <c s="1852" t="s">
        <v>3194</v>
      </c>
      <c s="1852" t="s">
        <v>22</v>
      </c>
      <c s="1852" t="s">
        <v>22</v>
      </c>
      <c s="1852" t="s">
        <v>854</v>
      </c>
    </row>
    <row r="760" spans="1:9" ht="11.25" customHeight="1">
      <c r="A760" s="1852" t="s">
        <v>2247</v>
      </c>
      <c s="1852" t="s">
        <v>16</v>
      </c>
      <c s="1852" t="s">
        <v>4260</v>
      </c>
      <c s="1852" t="s">
        <v>4261</v>
      </c>
      <c s="1852" t="s">
        <v>4262</v>
      </c>
      <c s="1852" t="s">
        <v>2286</v>
      </c>
      <c s="1852" t="s">
        <v>22</v>
      </c>
      <c s="1852" t="s">
        <v>22</v>
      </c>
      <c s="1852" t="s">
        <v>854</v>
      </c>
    </row>
    <row r="761" spans="1:9" ht="11.25" customHeight="1">
      <c r="A761" s="1852" t="s">
        <v>2247</v>
      </c>
      <c s="1852" t="s">
        <v>16</v>
      </c>
      <c s="1852" t="s">
        <v>4263</v>
      </c>
      <c s="1852" t="s">
        <v>4264</v>
      </c>
      <c s="1852" t="s">
        <v>4265</v>
      </c>
      <c s="1852" t="s">
        <v>2477</v>
      </c>
      <c s="1852" t="s">
        <v>4266</v>
      </c>
      <c s="1852" t="s">
        <v>22</v>
      </c>
      <c s="1852" t="s">
        <v>854</v>
      </c>
    </row>
    <row r="762" spans="1:9" ht="11.25" customHeight="1">
      <c r="A762" s="1852" t="s">
        <v>2247</v>
      </c>
      <c s="1852" t="s">
        <v>16</v>
      </c>
      <c s="1852" t="s">
        <v>2813</v>
      </c>
      <c s="1852" t="s">
        <v>2814</v>
      </c>
      <c s="1852" t="s">
        <v>2815</v>
      </c>
      <c s="1852" t="s">
        <v>2571</v>
      </c>
      <c s="1852" t="s">
        <v>2816</v>
      </c>
      <c s="1852" t="s">
        <v>22</v>
      </c>
      <c s="1852" t="s">
        <v>854</v>
      </c>
    </row>
    <row r="763" spans="1:9" ht="11.25" customHeight="1">
      <c r="A763" s="1852" t="s">
        <v>2247</v>
      </c>
      <c s="1852" t="s">
        <v>16</v>
      </c>
      <c s="1852" t="s">
        <v>4267</v>
      </c>
      <c s="1852" t="s">
        <v>4268</v>
      </c>
      <c s="1852" t="s">
        <v>4269</v>
      </c>
      <c s="1852" t="s">
        <v>2286</v>
      </c>
      <c s="1852" t="s">
        <v>22</v>
      </c>
      <c s="1852" t="s">
        <v>22</v>
      </c>
      <c s="1852" t="s">
        <v>854</v>
      </c>
    </row>
    <row r="764" spans="1:9" ht="11.25" customHeight="1">
      <c r="A764" s="1852" t="s">
        <v>2247</v>
      </c>
      <c s="1852" t="s">
        <v>16</v>
      </c>
      <c s="1852" t="s">
        <v>4270</v>
      </c>
      <c s="1852" t="s">
        <v>4271</v>
      </c>
      <c s="1852" t="s">
        <v>4272</v>
      </c>
      <c s="1852" t="s">
        <v>2286</v>
      </c>
      <c s="1852" t="s">
        <v>22</v>
      </c>
      <c s="1852" t="s">
        <v>22</v>
      </c>
      <c s="1852" t="s">
        <v>854</v>
      </c>
    </row>
    <row r="765" spans="1:9" ht="11.25" customHeight="1">
      <c r="A765" s="1852" t="s">
        <v>2247</v>
      </c>
      <c s="1852" t="s">
        <v>16</v>
      </c>
      <c s="1852" t="s">
        <v>2830</v>
      </c>
      <c s="1852" t="s">
        <v>2831</v>
      </c>
      <c s="1852" t="s">
        <v>2832</v>
      </c>
      <c s="1852" t="s">
        <v>2256</v>
      </c>
      <c s="1852" t="s">
        <v>2833</v>
      </c>
      <c s="1852" t="s">
        <v>22</v>
      </c>
      <c s="1852" t="s">
        <v>854</v>
      </c>
    </row>
    <row r="766" spans="1:9" ht="11.25" customHeight="1">
      <c r="A766" s="1852" t="s">
        <v>2247</v>
      </c>
      <c s="1852" t="s">
        <v>16</v>
      </c>
      <c s="1852" t="s">
        <v>2840</v>
      </c>
      <c s="1852" t="s">
        <v>2841</v>
      </c>
      <c s="1852" t="s">
        <v>2842</v>
      </c>
      <c s="1852" t="s">
        <v>2648</v>
      </c>
      <c s="1852" t="s">
        <v>2843</v>
      </c>
      <c s="1852" t="s">
        <v>22</v>
      </c>
      <c s="1852" t="s">
        <v>854</v>
      </c>
    </row>
    <row r="767" spans="1:9" ht="11.25" customHeight="1">
      <c r="A767" s="1852" t="s">
        <v>2247</v>
      </c>
      <c s="1852" t="s">
        <v>16</v>
      </c>
      <c s="1852" t="s">
        <v>4273</v>
      </c>
      <c s="1852" t="s">
        <v>4274</v>
      </c>
      <c s="1852" t="s">
        <v>4275</v>
      </c>
      <c s="1852" t="s">
        <v>2851</v>
      </c>
      <c s="1852" t="s">
        <v>4276</v>
      </c>
      <c s="1852" t="s">
        <v>22</v>
      </c>
      <c s="1852" t="s">
        <v>854</v>
      </c>
    </row>
    <row r="768" spans="1:9" ht="11.25" customHeight="1">
      <c r="A768" s="1852" t="s">
        <v>2247</v>
      </c>
      <c s="1852" t="s">
        <v>16</v>
      </c>
      <c s="1852" t="s">
        <v>4277</v>
      </c>
      <c s="1852" t="s">
        <v>4278</v>
      </c>
      <c s="1852" t="s">
        <v>4279</v>
      </c>
      <c s="1852" t="s">
        <v>4280</v>
      </c>
      <c s="1852" t="s">
        <v>4281</v>
      </c>
      <c s="1852" t="s">
        <v>22</v>
      </c>
      <c s="1852" t="s">
        <v>854</v>
      </c>
    </row>
    <row r="769" spans="1:9" ht="11.25" customHeight="1">
      <c r="A769" s="1852" t="s">
        <v>2247</v>
      </c>
      <c s="1852" t="s">
        <v>16</v>
      </c>
      <c s="1852" t="s">
        <v>4282</v>
      </c>
      <c s="1852" t="s">
        <v>4283</v>
      </c>
      <c s="1852" t="s">
        <v>4284</v>
      </c>
      <c s="1852" t="s">
        <v>4285</v>
      </c>
      <c s="1852" t="s">
        <v>22</v>
      </c>
      <c s="1852" t="s">
        <v>22</v>
      </c>
      <c s="1852" t="s">
        <v>854</v>
      </c>
    </row>
    <row r="770" spans="1:9" ht="11.25" customHeight="1">
      <c r="A770" s="1852" t="s">
        <v>2247</v>
      </c>
      <c s="1852" t="s">
        <v>16</v>
      </c>
      <c s="1852" t="s">
        <v>4286</v>
      </c>
      <c s="1852" t="s">
        <v>4287</v>
      </c>
      <c s="1852" t="s">
        <v>4288</v>
      </c>
      <c s="1852" t="s">
        <v>2659</v>
      </c>
      <c s="1852" t="s">
        <v>4289</v>
      </c>
      <c s="1852" t="s">
        <v>22</v>
      </c>
      <c s="1852" t="s">
        <v>854</v>
      </c>
    </row>
    <row r="771" spans="1:9" ht="11.25" customHeight="1">
      <c r="A771" s="1852" t="s">
        <v>2247</v>
      </c>
      <c s="1852" t="s">
        <v>16</v>
      </c>
      <c s="1852" t="s">
        <v>4290</v>
      </c>
      <c s="1852" t="s">
        <v>4291</v>
      </c>
      <c s="1852" t="s">
        <v>4292</v>
      </c>
      <c s="1852" t="s">
        <v>2567</v>
      </c>
      <c s="1852" t="s">
        <v>4293</v>
      </c>
      <c s="1852" t="s">
        <v>4294</v>
      </c>
      <c s="1852" t="s">
        <v>854</v>
      </c>
    </row>
    <row r="772" spans="1:9" ht="11.25" customHeight="1">
      <c r="A772" s="1852" t="s">
        <v>2247</v>
      </c>
      <c s="1852" t="s">
        <v>16</v>
      </c>
      <c s="1852" t="s">
        <v>4295</v>
      </c>
      <c s="1852" t="s">
        <v>4296</v>
      </c>
      <c s="1852" t="s">
        <v>4297</v>
      </c>
      <c s="1852" t="s">
        <v>2272</v>
      </c>
      <c s="1852" t="s">
        <v>4298</v>
      </c>
      <c s="1852" t="s">
        <v>22</v>
      </c>
      <c s="1852" t="s">
        <v>854</v>
      </c>
    </row>
    <row r="773" spans="1:9" ht="11.25" customHeight="1">
      <c r="A773" s="1852" t="s">
        <v>2247</v>
      </c>
      <c s="1852" t="s">
        <v>16</v>
      </c>
      <c s="1852" t="s">
        <v>4299</v>
      </c>
      <c s="1852" t="s">
        <v>4300</v>
      </c>
      <c s="1852" t="s">
        <v>4301</v>
      </c>
      <c s="1852" t="s">
        <v>2519</v>
      </c>
      <c s="1852" t="s">
        <v>3824</v>
      </c>
      <c s="1852" t="s">
        <v>22</v>
      </c>
      <c s="1852" t="s">
        <v>854</v>
      </c>
    </row>
    <row r="774" spans="1:9" ht="11.25" customHeight="1">
      <c r="A774" s="1852" t="s">
        <v>2247</v>
      </c>
      <c s="1852" t="s">
        <v>16</v>
      </c>
      <c s="1852" t="s">
        <v>2872</v>
      </c>
      <c s="1852" t="s">
        <v>2873</v>
      </c>
      <c s="1852" t="s">
        <v>2874</v>
      </c>
      <c s="1852" t="s">
        <v>2659</v>
      </c>
      <c s="1852" t="s">
        <v>2875</v>
      </c>
      <c s="1852" t="s">
        <v>22</v>
      </c>
      <c s="1852" t="s">
        <v>854</v>
      </c>
    </row>
    <row r="775" spans="1:9" ht="11.25" customHeight="1">
      <c r="A775" s="1852" t="s">
        <v>2247</v>
      </c>
      <c s="1852" t="s">
        <v>16</v>
      </c>
      <c s="1852" t="s">
        <v>4302</v>
      </c>
      <c s="1852" t="s">
        <v>4303</v>
      </c>
      <c s="1852" t="s">
        <v>4304</v>
      </c>
      <c s="1852" t="s">
        <v>2467</v>
      </c>
      <c s="1852" t="s">
        <v>22</v>
      </c>
      <c s="1852" t="s">
        <v>22</v>
      </c>
      <c s="1852" t="s">
        <v>854</v>
      </c>
    </row>
    <row r="776" spans="1:9" ht="11.25" customHeight="1">
      <c r="A776" s="1852" t="s">
        <v>2247</v>
      </c>
      <c s="1852" t="s">
        <v>16</v>
      </c>
      <c s="1852" t="s">
        <v>4305</v>
      </c>
      <c s="1852" t="s">
        <v>4306</v>
      </c>
      <c s="1852" t="s">
        <v>4307</v>
      </c>
      <c s="1852" t="s">
        <v>51</v>
      </c>
      <c s="1852" t="s">
        <v>4308</v>
      </c>
      <c s="1852" t="s">
        <v>22</v>
      </c>
      <c s="1852" t="s">
        <v>854</v>
      </c>
    </row>
    <row r="777" spans="1:9" ht="11.25" customHeight="1">
      <c r="A777" s="1852" t="s">
        <v>2247</v>
      </c>
      <c s="1852" t="s">
        <v>16</v>
      </c>
      <c s="1852" t="s">
        <v>4309</v>
      </c>
      <c s="1852" t="s">
        <v>4310</v>
      </c>
      <c s="1852" t="s">
        <v>4311</v>
      </c>
      <c s="1852" t="s">
        <v>51</v>
      </c>
      <c s="1852" t="s">
        <v>4308</v>
      </c>
      <c s="1852" t="s">
        <v>22</v>
      </c>
      <c s="1852" t="s">
        <v>854</v>
      </c>
    </row>
    <row r="778" spans="1:9" ht="11.25" customHeight="1">
      <c r="A778" s="1852" t="s">
        <v>2247</v>
      </c>
      <c s="1852" t="s">
        <v>16</v>
      </c>
      <c s="1852" t="s">
        <v>4312</v>
      </c>
      <c s="1852" t="s">
        <v>4313</v>
      </c>
      <c s="1852" t="s">
        <v>4314</v>
      </c>
      <c s="1852" t="s">
        <v>51</v>
      </c>
      <c s="1852" t="s">
        <v>4315</v>
      </c>
      <c s="1852" t="s">
        <v>22</v>
      </c>
      <c s="1852" t="s">
        <v>854</v>
      </c>
    </row>
    <row r="779" spans="1:9" ht="11.25" customHeight="1">
      <c r="A779" s="1852" t="s">
        <v>2247</v>
      </c>
      <c s="1852" t="s">
        <v>16</v>
      </c>
      <c s="1852" t="s">
        <v>4316</v>
      </c>
      <c s="1852" t="s">
        <v>4317</v>
      </c>
      <c s="1852" t="s">
        <v>4318</v>
      </c>
      <c s="1852" t="s">
        <v>51</v>
      </c>
      <c s="1852" t="s">
        <v>4319</v>
      </c>
      <c s="1852" t="s">
        <v>22</v>
      </c>
      <c s="1852" t="s">
        <v>854</v>
      </c>
    </row>
    <row r="780" spans="1:9" ht="11.25" customHeight="1">
      <c r="A780" s="1852" t="s">
        <v>2247</v>
      </c>
      <c s="1852" t="s">
        <v>16</v>
      </c>
      <c s="1852" t="s">
        <v>4320</v>
      </c>
      <c s="1852" t="s">
        <v>4321</v>
      </c>
      <c s="1852" t="s">
        <v>4322</v>
      </c>
      <c s="1852" t="s">
        <v>2347</v>
      </c>
      <c s="1852" t="s">
        <v>4323</v>
      </c>
      <c s="1852" t="s">
        <v>22</v>
      </c>
      <c s="1852" t="s">
        <v>854</v>
      </c>
    </row>
    <row r="781" spans="1:9" ht="11.25" customHeight="1">
      <c r="A781" s="1852" t="s">
        <v>2247</v>
      </c>
      <c s="1852" t="s">
        <v>16</v>
      </c>
      <c s="1852" t="s">
        <v>4324</v>
      </c>
      <c s="1852" t="s">
        <v>4325</v>
      </c>
      <c s="1852" t="s">
        <v>4326</v>
      </c>
      <c s="1852" t="s">
        <v>3148</v>
      </c>
      <c s="1852" t="s">
        <v>22</v>
      </c>
      <c s="1852" t="s">
        <v>22</v>
      </c>
      <c s="1852" t="s">
        <v>854</v>
      </c>
    </row>
    <row r="782" spans="1:9" ht="11.25" customHeight="1">
      <c r="A782" s="1852" t="s">
        <v>2247</v>
      </c>
      <c s="1852" t="s">
        <v>16</v>
      </c>
      <c s="1852" t="s">
        <v>4327</v>
      </c>
      <c s="1852" t="s">
        <v>4328</v>
      </c>
      <c s="1852" t="s">
        <v>4329</v>
      </c>
      <c s="1852" t="s">
        <v>3210</v>
      </c>
      <c s="1852" t="s">
        <v>4330</v>
      </c>
      <c s="1852" t="s">
        <v>22</v>
      </c>
      <c s="1852" t="s">
        <v>854</v>
      </c>
    </row>
    <row r="783" spans="1:9" ht="11.25" customHeight="1">
      <c r="A783" s="1852" t="s">
        <v>2247</v>
      </c>
      <c s="1852" t="s">
        <v>16</v>
      </c>
      <c s="1852" t="s">
        <v>4331</v>
      </c>
      <c s="1852" t="s">
        <v>4332</v>
      </c>
      <c s="1852" t="s">
        <v>4333</v>
      </c>
      <c s="1852" t="s">
        <v>51</v>
      </c>
      <c s="1852" t="s">
        <v>4334</v>
      </c>
      <c s="1852" t="s">
        <v>22</v>
      </c>
      <c s="1852" t="s">
        <v>854</v>
      </c>
    </row>
    <row r="784" spans="1:9" ht="11.25" customHeight="1">
      <c r="A784" s="1852" t="s">
        <v>2247</v>
      </c>
      <c s="1852" t="s">
        <v>16</v>
      </c>
      <c s="1852" t="s">
        <v>4335</v>
      </c>
      <c s="1852" t="s">
        <v>4332</v>
      </c>
      <c s="1852" t="s">
        <v>4336</v>
      </c>
      <c s="1852" t="s">
        <v>3194</v>
      </c>
      <c s="1852" t="s">
        <v>22</v>
      </c>
      <c s="1852" t="s">
        <v>22</v>
      </c>
      <c s="1852" t="s">
        <v>854</v>
      </c>
    </row>
    <row r="785" spans="1:9" ht="11.25" customHeight="1">
      <c r="A785" s="1852" t="s">
        <v>2247</v>
      </c>
      <c s="1852" t="s">
        <v>16</v>
      </c>
      <c s="1852" t="s">
        <v>4337</v>
      </c>
      <c s="1852" t="s">
        <v>4332</v>
      </c>
      <c s="1852" t="s">
        <v>4338</v>
      </c>
      <c s="1852" t="s">
        <v>2620</v>
      </c>
      <c s="1852" t="s">
        <v>4339</v>
      </c>
      <c s="1852" t="s">
        <v>22</v>
      </c>
      <c s="1852" t="s">
        <v>854</v>
      </c>
    </row>
    <row r="786" spans="1:9" ht="11.25" customHeight="1">
      <c r="A786" s="1852" t="s">
        <v>2247</v>
      </c>
      <c s="1852" t="s">
        <v>16</v>
      </c>
      <c s="1852" t="s">
        <v>4340</v>
      </c>
      <c s="1852" t="s">
        <v>4341</v>
      </c>
      <c s="1852" t="s">
        <v>4342</v>
      </c>
      <c s="1852" t="s">
        <v>51</v>
      </c>
      <c s="1852" t="s">
        <v>4343</v>
      </c>
      <c s="1852" t="s">
        <v>22</v>
      </c>
      <c s="1852" t="s">
        <v>854</v>
      </c>
    </row>
    <row r="787" spans="1:9" ht="11.25" customHeight="1">
      <c r="A787" s="1852" t="s">
        <v>2247</v>
      </c>
      <c s="1852" t="s">
        <v>16</v>
      </c>
      <c s="1852" t="s">
        <v>4344</v>
      </c>
      <c s="1852" t="s">
        <v>4345</v>
      </c>
      <c s="1852" t="s">
        <v>4346</v>
      </c>
      <c s="1852" t="s">
        <v>4285</v>
      </c>
      <c s="1852" t="s">
        <v>4347</v>
      </c>
      <c s="1852" t="s">
        <v>22</v>
      </c>
      <c s="1852" t="s">
        <v>854</v>
      </c>
    </row>
    <row r="788" spans="1:9" ht="11.25" customHeight="1">
      <c r="A788" s="1852" t="s">
        <v>2247</v>
      </c>
      <c s="1852" t="s">
        <v>16</v>
      </c>
      <c s="1852" t="s">
        <v>4348</v>
      </c>
      <c s="1852" t="s">
        <v>4349</v>
      </c>
      <c s="1852" t="s">
        <v>4350</v>
      </c>
      <c s="1852" t="s">
        <v>4285</v>
      </c>
      <c s="1852" t="s">
        <v>22</v>
      </c>
      <c s="1852" t="s">
        <v>22</v>
      </c>
      <c s="1852" t="s">
        <v>854</v>
      </c>
    </row>
    <row r="789" spans="1:9" ht="11.25" customHeight="1">
      <c r="A789" s="1852" t="s">
        <v>2247</v>
      </c>
      <c s="1852" t="s">
        <v>16</v>
      </c>
      <c s="1852" t="s">
        <v>4351</v>
      </c>
      <c s="1852" t="s">
        <v>4352</v>
      </c>
      <c s="1852" t="s">
        <v>4353</v>
      </c>
      <c s="1852" t="s">
        <v>2851</v>
      </c>
      <c s="1852" t="s">
        <v>4354</v>
      </c>
      <c s="1852" t="s">
        <v>22</v>
      </c>
      <c s="1852" t="s">
        <v>854</v>
      </c>
    </row>
    <row r="790" spans="1:9" ht="11.25" customHeight="1">
      <c r="A790" s="1852" t="s">
        <v>2247</v>
      </c>
      <c s="1852" t="s">
        <v>16</v>
      </c>
      <c s="1852" t="s">
        <v>4355</v>
      </c>
      <c s="1852" t="s">
        <v>4356</v>
      </c>
      <c s="1852" t="s">
        <v>4357</v>
      </c>
      <c s="1852" t="s">
        <v>2675</v>
      </c>
      <c s="1852" t="s">
        <v>4358</v>
      </c>
      <c s="1852" t="s">
        <v>22</v>
      </c>
      <c s="1852" t="s">
        <v>854</v>
      </c>
    </row>
    <row r="791" spans="1:9" ht="11.25" customHeight="1">
      <c r="A791" s="1852" t="s">
        <v>2247</v>
      </c>
      <c s="1852" t="s">
        <v>16</v>
      </c>
      <c s="1852" t="s">
        <v>4359</v>
      </c>
      <c s="1852" t="s">
        <v>4360</v>
      </c>
      <c s="1852" t="s">
        <v>4361</v>
      </c>
      <c s="1852" t="s">
        <v>3401</v>
      </c>
      <c s="1852" t="s">
        <v>22</v>
      </c>
      <c s="1852" t="s">
        <v>22</v>
      </c>
      <c s="1852" t="s">
        <v>854</v>
      </c>
    </row>
    <row r="792" spans="1:9" ht="11.25" customHeight="1">
      <c r="A792" s="1852" t="s">
        <v>2247</v>
      </c>
      <c s="1852" t="s">
        <v>16</v>
      </c>
      <c s="1852" t="s">
        <v>4362</v>
      </c>
      <c s="1852" t="s">
        <v>4363</v>
      </c>
      <c s="1852" t="s">
        <v>4364</v>
      </c>
      <c s="1852" t="s">
        <v>4365</v>
      </c>
      <c s="1852" t="s">
        <v>22</v>
      </c>
      <c s="1852" t="s">
        <v>22</v>
      </c>
      <c s="1852" t="s">
        <v>854</v>
      </c>
    </row>
    <row r="793" spans="1:9" ht="11.25" customHeight="1">
      <c r="A793" s="1852" t="s">
        <v>2247</v>
      </c>
      <c s="1852" t="s">
        <v>16</v>
      </c>
      <c s="1852" t="s">
        <v>4366</v>
      </c>
      <c s="1852" t="s">
        <v>4367</v>
      </c>
      <c s="1852" t="s">
        <v>4368</v>
      </c>
      <c s="1852" t="s">
        <v>2567</v>
      </c>
      <c s="1852" t="s">
        <v>4369</v>
      </c>
      <c s="1852" t="s">
        <v>22</v>
      </c>
      <c s="1852" t="s">
        <v>854</v>
      </c>
    </row>
    <row r="794" spans="1:9" ht="11.25" customHeight="1">
      <c r="A794" s="1852" t="s">
        <v>2247</v>
      </c>
      <c s="1852" t="s">
        <v>16</v>
      </c>
      <c s="1852" t="s">
        <v>4370</v>
      </c>
      <c s="1852" t="s">
        <v>4371</v>
      </c>
      <c s="1852" t="s">
        <v>4372</v>
      </c>
      <c s="1852" t="s">
        <v>2826</v>
      </c>
      <c s="1852" t="s">
        <v>4373</v>
      </c>
      <c s="1852" t="s">
        <v>22</v>
      </c>
      <c s="1852" t="s">
        <v>854</v>
      </c>
    </row>
    <row r="795" spans="1:9" ht="11.25" customHeight="1">
      <c r="A795" s="1852" t="s">
        <v>2247</v>
      </c>
      <c s="1852" t="s">
        <v>16</v>
      </c>
      <c s="1852" t="s">
        <v>4374</v>
      </c>
      <c s="1852" t="s">
        <v>4375</v>
      </c>
      <c s="1852" t="s">
        <v>4376</v>
      </c>
      <c s="1852" t="s">
        <v>3148</v>
      </c>
      <c s="1852" t="s">
        <v>22</v>
      </c>
      <c s="1852" t="s">
        <v>22</v>
      </c>
      <c s="1852" t="s">
        <v>854</v>
      </c>
    </row>
    <row r="796" spans="1:9" ht="11.25" customHeight="1">
      <c r="A796" s="1852" t="s">
        <v>2247</v>
      </c>
      <c s="1852" t="s">
        <v>16</v>
      </c>
      <c s="1852" t="s">
        <v>4377</v>
      </c>
      <c s="1852" t="s">
        <v>4378</v>
      </c>
      <c s="1852" t="s">
        <v>4379</v>
      </c>
      <c s="1852" t="s">
        <v>2727</v>
      </c>
      <c s="1852" t="s">
        <v>22</v>
      </c>
      <c s="1852" t="s">
        <v>22</v>
      </c>
      <c s="1852" t="s">
        <v>854</v>
      </c>
    </row>
    <row r="797" spans="1:9" ht="11.25" customHeight="1">
      <c r="A797" s="1852" t="s">
        <v>2247</v>
      </c>
      <c s="1852" t="s">
        <v>16</v>
      </c>
      <c s="1852" t="s">
        <v>4380</v>
      </c>
      <c s="1852" t="s">
        <v>4381</v>
      </c>
      <c s="1852" t="s">
        <v>4382</v>
      </c>
      <c s="1852" t="s">
        <v>2699</v>
      </c>
      <c s="1852" t="s">
        <v>4383</v>
      </c>
      <c s="1852" t="s">
        <v>22</v>
      </c>
      <c s="1852" t="s">
        <v>854</v>
      </c>
    </row>
    <row r="798" spans="1:9" ht="11.25" customHeight="1">
      <c r="A798" s="1852" t="s">
        <v>2247</v>
      </c>
      <c s="1852" t="s">
        <v>16</v>
      </c>
      <c s="1852" t="s">
        <v>4384</v>
      </c>
      <c s="1852" t="s">
        <v>4385</v>
      </c>
      <c s="1852" t="s">
        <v>4386</v>
      </c>
      <c s="1852" t="s">
        <v>2343</v>
      </c>
      <c s="1852" t="s">
        <v>4387</v>
      </c>
      <c s="1852" t="s">
        <v>22</v>
      </c>
      <c s="1852" t="s">
        <v>854</v>
      </c>
    </row>
    <row r="799" spans="1:9" ht="11.25" customHeight="1">
      <c r="A799" s="1852" t="s">
        <v>2247</v>
      </c>
      <c s="1852" t="s">
        <v>16</v>
      </c>
      <c s="1852" t="s">
        <v>4388</v>
      </c>
      <c s="1852" t="s">
        <v>4389</v>
      </c>
      <c s="1852" t="s">
        <v>4390</v>
      </c>
      <c s="1852" t="s">
        <v>2699</v>
      </c>
      <c s="1852" t="s">
        <v>4383</v>
      </c>
      <c s="1852" t="s">
        <v>22</v>
      </c>
      <c s="1852" t="s">
        <v>854</v>
      </c>
    </row>
    <row r="800" spans="1:9" ht="11.25" customHeight="1">
      <c r="A800" s="1852" t="s">
        <v>2247</v>
      </c>
      <c s="1852" t="s">
        <v>16</v>
      </c>
      <c s="1852" t="s">
        <v>4391</v>
      </c>
      <c s="1852" t="s">
        <v>4392</v>
      </c>
      <c s="1852" t="s">
        <v>4393</v>
      </c>
      <c s="1852" t="s">
        <v>2704</v>
      </c>
      <c s="1852" t="s">
        <v>22</v>
      </c>
      <c s="1852" t="s">
        <v>22</v>
      </c>
      <c s="1852" t="s">
        <v>854</v>
      </c>
    </row>
    <row r="801" spans="1:9" ht="11.25" customHeight="1">
      <c r="A801" s="1852" t="s">
        <v>2247</v>
      </c>
      <c s="1852" t="s">
        <v>16</v>
      </c>
      <c s="1852" t="s">
        <v>4394</v>
      </c>
      <c s="1852" t="s">
        <v>4395</v>
      </c>
      <c s="1852" t="s">
        <v>4396</v>
      </c>
      <c s="1852" t="s">
        <v>2256</v>
      </c>
      <c s="1852" t="s">
        <v>22</v>
      </c>
      <c s="1852" t="s">
        <v>22</v>
      </c>
      <c s="1852" t="s">
        <v>854</v>
      </c>
    </row>
    <row r="802" spans="1:9" ht="11.25" customHeight="1">
      <c r="A802" s="1852" t="s">
        <v>2247</v>
      </c>
      <c s="1852" t="s">
        <v>16</v>
      </c>
      <c s="1852" t="s">
        <v>4397</v>
      </c>
      <c s="1852" t="s">
        <v>4398</v>
      </c>
      <c s="1852" t="s">
        <v>4399</v>
      </c>
      <c s="1852" t="s">
        <v>51</v>
      </c>
      <c s="1852" t="s">
        <v>4400</v>
      </c>
      <c s="1852" t="s">
        <v>22</v>
      </c>
      <c s="1852" t="s">
        <v>854</v>
      </c>
    </row>
    <row r="803" spans="1:9" ht="11.25" customHeight="1">
      <c r="A803" s="1852" t="s">
        <v>2247</v>
      </c>
      <c s="1852" t="s">
        <v>16</v>
      </c>
      <c s="1852" t="s">
        <v>4401</v>
      </c>
      <c s="1852" t="s">
        <v>4402</v>
      </c>
      <c s="1852" t="s">
        <v>4403</v>
      </c>
      <c s="1852" t="s">
        <v>51</v>
      </c>
      <c s="1852" t="s">
        <v>22</v>
      </c>
      <c s="1852" t="s">
        <v>22</v>
      </c>
      <c s="1852" t="s">
        <v>854</v>
      </c>
    </row>
    <row r="804" spans="1:9" ht="11.25" customHeight="1">
      <c r="A804" s="1852" t="s">
        <v>2247</v>
      </c>
      <c s="1852" t="s">
        <v>16</v>
      </c>
      <c s="1852" t="s">
        <v>4404</v>
      </c>
      <c s="1852" t="s">
        <v>4405</v>
      </c>
      <c s="1852" t="s">
        <v>4406</v>
      </c>
      <c s="1852" t="s">
        <v>51</v>
      </c>
      <c s="1852" t="s">
        <v>4407</v>
      </c>
      <c s="1852" t="s">
        <v>22</v>
      </c>
      <c s="1852" t="s">
        <v>854</v>
      </c>
    </row>
    <row r="805" spans="1:9" ht="11.25" customHeight="1">
      <c r="A805" s="1852" t="s">
        <v>2247</v>
      </c>
      <c s="1852" t="s">
        <v>16</v>
      </c>
      <c s="1852" t="s">
        <v>4408</v>
      </c>
      <c s="1852" t="s">
        <v>4409</v>
      </c>
      <c s="1852" t="s">
        <v>4403</v>
      </c>
      <c s="1852" t="s">
        <v>2826</v>
      </c>
      <c s="1852" t="s">
        <v>4410</v>
      </c>
      <c s="1852" t="s">
        <v>22</v>
      </c>
      <c s="1852" t="s">
        <v>854</v>
      </c>
    </row>
    <row r="806" spans="1:9" ht="11.25" customHeight="1">
      <c r="A806" s="1852" t="s">
        <v>2247</v>
      </c>
      <c s="1852" t="s">
        <v>16</v>
      </c>
      <c s="1852" t="s">
        <v>4411</v>
      </c>
      <c s="1852" t="s">
        <v>4412</v>
      </c>
      <c s="1852" t="s">
        <v>4413</v>
      </c>
      <c s="1852" t="s">
        <v>2851</v>
      </c>
      <c s="1852" t="s">
        <v>4414</v>
      </c>
      <c s="1852" t="s">
        <v>22</v>
      </c>
      <c s="1852" t="s">
        <v>854</v>
      </c>
    </row>
    <row r="807" spans="1:9" ht="11.25" customHeight="1">
      <c r="A807" s="1852" t="s">
        <v>2247</v>
      </c>
      <c s="1852" t="s">
        <v>16</v>
      </c>
      <c s="1852" t="s">
        <v>4415</v>
      </c>
      <c s="1852" t="s">
        <v>4412</v>
      </c>
      <c s="1852" t="s">
        <v>4416</v>
      </c>
      <c s="1852" t="s">
        <v>2620</v>
      </c>
      <c s="1852" t="s">
        <v>22</v>
      </c>
      <c s="1852" t="s">
        <v>22</v>
      </c>
      <c s="1852" t="s">
        <v>854</v>
      </c>
    </row>
    <row r="808" spans="1:9" ht="11.25" customHeight="1">
      <c r="A808" s="1852" t="s">
        <v>2247</v>
      </c>
      <c s="1852" t="s">
        <v>16</v>
      </c>
      <c s="1852" t="s">
        <v>4417</v>
      </c>
      <c s="1852" t="s">
        <v>4418</v>
      </c>
      <c s="1852" t="s">
        <v>4419</v>
      </c>
      <c s="1852" t="s">
        <v>2511</v>
      </c>
      <c s="1852" t="s">
        <v>4420</v>
      </c>
      <c s="1852" t="s">
        <v>22</v>
      </c>
      <c s="1852" t="s">
        <v>854</v>
      </c>
    </row>
    <row r="809" spans="1:9" ht="11.25" customHeight="1">
      <c r="A809" s="1852" t="s">
        <v>2247</v>
      </c>
      <c s="1852" t="s">
        <v>16</v>
      </c>
      <c s="1852" t="s">
        <v>4421</v>
      </c>
      <c s="1852" t="s">
        <v>4418</v>
      </c>
      <c s="1852" t="s">
        <v>4422</v>
      </c>
      <c s="1852" t="s">
        <v>2727</v>
      </c>
      <c s="1852" t="s">
        <v>4423</v>
      </c>
      <c s="1852" t="s">
        <v>22</v>
      </c>
      <c s="1852" t="s">
        <v>854</v>
      </c>
    </row>
    <row r="810" spans="1:9" ht="11.25" customHeight="1">
      <c r="A810" s="1852" t="s">
        <v>2247</v>
      </c>
      <c s="1852" t="s">
        <v>16</v>
      </c>
      <c s="1852" t="s">
        <v>4424</v>
      </c>
      <c s="1852" t="s">
        <v>4425</v>
      </c>
      <c s="1852" t="s">
        <v>4426</v>
      </c>
      <c s="1852" t="s">
        <v>2286</v>
      </c>
      <c s="1852" t="s">
        <v>22</v>
      </c>
      <c s="1852" t="s">
        <v>22</v>
      </c>
      <c s="1852" t="s">
        <v>854</v>
      </c>
    </row>
    <row r="811" spans="1:9" ht="11.25" customHeight="1">
      <c r="A811" s="1852" t="s">
        <v>2247</v>
      </c>
      <c s="1852" t="s">
        <v>16</v>
      </c>
      <c s="1852" t="s">
        <v>4427</v>
      </c>
      <c s="1852" t="s">
        <v>4428</v>
      </c>
      <c s="1852" t="s">
        <v>4429</v>
      </c>
      <c s="1852" t="s">
        <v>2262</v>
      </c>
      <c s="1852" t="s">
        <v>4430</v>
      </c>
      <c s="1852" t="s">
        <v>22</v>
      </c>
      <c s="1852" t="s">
        <v>854</v>
      </c>
    </row>
    <row r="812" spans="1:9" ht="11.25" customHeight="1">
      <c r="A812" s="1852" t="s">
        <v>2247</v>
      </c>
      <c s="1852" t="s">
        <v>16</v>
      </c>
      <c s="1852" t="s">
        <v>4431</v>
      </c>
      <c s="1852" t="s">
        <v>4432</v>
      </c>
      <c s="1852" t="s">
        <v>4433</v>
      </c>
      <c s="1852" t="s">
        <v>51</v>
      </c>
      <c s="1852" t="s">
        <v>4434</v>
      </c>
      <c s="1852" t="s">
        <v>22</v>
      </c>
      <c s="1852" t="s">
        <v>854</v>
      </c>
    </row>
    <row r="813" spans="1:9" ht="11.25" customHeight="1">
      <c r="A813" s="1852" t="s">
        <v>2247</v>
      </c>
      <c s="1852" t="s">
        <v>16</v>
      </c>
      <c s="1852" t="s">
        <v>4435</v>
      </c>
      <c s="1852" t="s">
        <v>4436</v>
      </c>
      <c s="1852" t="s">
        <v>4437</v>
      </c>
      <c s="1852" t="s">
        <v>2256</v>
      </c>
      <c s="1852" t="s">
        <v>4438</v>
      </c>
      <c s="1852" t="s">
        <v>22</v>
      </c>
      <c s="1852" t="s">
        <v>854</v>
      </c>
    </row>
    <row r="814" spans="1:9" ht="11.25" customHeight="1">
      <c r="A814" s="1852" t="s">
        <v>2247</v>
      </c>
      <c s="1852" t="s">
        <v>16</v>
      </c>
      <c s="1852" t="s">
        <v>4439</v>
      </c>
      <c s="1852" t="s">
        <v>4440</v>
      </c>
      <c s="1852" t="s">
        <v>4441</v>
      </c>
      <c s="1852" t="s">
        <v>2699</v>
      </c>
      <c s="1852" t="s">
        <v>4442</v>
      </c>
      <c s="1852" t="s">
        <v>22</v>
      </c>
      <c s="1852" t="s">
        <v>854</v>
      </c>
    </row>
    <row r="815" spans="1:9" ht="11.25" customHeight="1">
      <c r="A815" s="1852" t="s">
        <v>2247</v>
      </c>
      <c s="1852" t="s">
        <v>16</v>
      </c>
      <c s="1852" t="s">
        <v>2977</v>
      </c>
      <c s="1852" t="s">
        <v>2978</v>
      </c>
      <c s="1852" t="s">
        <v>2979</v>
      </c>
      <c s="1852" t="s">
        <v>2272</v>
      </c>
      <c s="1852" t="s">
        <v>2980</v>
      </c>
      <c s="1852" t="s">
        <v>22</v>
      </c>
      <c s="1852" t="s">
        <v>854</v>
      </c>
    </row>
    <row r="816" spans="1:9" ht="11.25" customHeight="1">
      <c r="A816" s="1852" t="s">
        <v>2247</v>
      </c>
      <c s="1852" t="s">
        <v>16</v>
      </c>
      <c s="1852" t="s">
        <v>4443</v>
      </c>
      <c s="1852" t="s">
        <v>4444</v>
      </c>
      <c s="1852" t="s">
        <v>4445</v>
      </c>
      <c s="1852" t="s">
        <v>2648</v>
      </c>
      <c s="1852" t="s">
        <v>4446</v>
      </c>
      <c s="1852" t="s">
        <v>4447</v>
      </c>
      <c s="1852" t="s">
        <v>854</v>
      </c>
    </row>
    <row r="817" spans="1:9" ht="11.25" customHeight="1">
      <c r="A817" s="1852" t="s">
        <v>2247</v>
      </c>
      <c s="1852" t="s">
        <v>16</v>
      </c>
      <c s="1852" t="s">
        <v>2981</v>
      </c>
      <c s="1852" t="s">
        <v>2982</v>
      </c>
      <c s="1852" t="s">
        <v>2983</v>
      </c>
      <c s="1852" t="s">
        <v>2272</v>
      </c>
      <c s="1852" t="s">
        <v>2984</v>
      </c>
      <c s="1852" t="s">
        <v>22</v>
      </c>
      <c s="1852" t="s">
        <v>854</v>
      </c>
    </row>
    <row r="818" spans="1:9" ht="11.25" customHeight="1">
      <c r="A818" s="1852" t="s">
        <v>2247</v>
      </c>
      <c s="1852" t="s">
        <v>16</v>
      </c>
      <c s="1852" t="s">
        <v>4448</v>
      </c>
      <c s="1852" t="s">
        <v>4449</v>
      </c>
      <c s="1852" t="s">
        <v>4450</v>
      </c>
      <c s="1852" t="s">
        <v>2347</v>
      </c>
      <c s="1852" t="s">
        <v>4451</v>
      </c>
      <c s="1852" t="s">
        <v>22</v>
      </c>
      <c s="1852" t="s">
        <v>854</v>
      </c>
    </row>
    <row r="819" spans="1:9" ht="11.25" customHeight="1">
      <c r="A819" s="1852" t="s">
        <v>2247</v>
      </c>
      <c s="1852" t="s">
        <v>16</v>
      </c>
      <c s="1852" t="s">
        <v>4452</v>
      </c>
      <c s="1852" t="s">
        <v>4453</v>
      </c>
      <c s="1852" t="s">
        <v>4454</v>
      </c>
      <c s="1852" t="s">
        <v>2851</v>
      </c>
      <c s="1852" t="s">
        <v>4455</v>
      </c>
      <c s="1852" t="s">
        <v>22</v>
      </c>
      <c s="1852" t="s">
        <v>854</v>
      </c>
    </row>
    <row r="820" spans="1:9" ht="11.25" customHeight="1">
      <c r="A820" s="1852" t="s">
        <v>2247</v>
      </c>
      <c s="1852" t="s">
        <v>16</v>
      </c>
      <c s="1852" t="s">
        <v>4456</v>
      </c>
      <c s="1852" t="s">
        <v>4457</v>
      </c>
      <c s="1852" t="s">
        <v>4458</v>
      </c>
      <c s="1852" t="s">
        <v>2851</v>
      </c>
      <c s="1852" t="s">
        <v>4459</v>
      </c>
      <c s="1852" t="s">
        <v>22</v>
      </c>
      <c s="1852" t="s">
        <v>854</v>
      </c>
    </row>
    <row r="821" spans="1:9" ht="11.25" customHeight="1">
      <c r="A821" s="1852" t="s">
        <v>2247</v>
      </c>
      <c s="1852" t="s">
        <v>16</v>
      </c>
      <c s="1852" t="s">
        <v>4460</v>
      </c>
      <c s="1852" t="s">
        <v>4461</v>
      </c>
      <c s="1852" t="s">
        <v>4462</v>
      </c>
      <c s="1852" t="s">
        <v>2286</v>
      </c>
      <c s="1852" t="s">
        <v>22</v>
      </c>
      <c s="1852" t="s">
        <v>22</v>
      </c>
      <c s="1852" t="s">
        <v>854</v>
      </c>
    </row>
    <row r="822" spans="1:9" ht="11.25" customHeight="1">
      <c r="A822" s="1852" t="s">
        <v>2247</v>
      </c>
      <c s="1852" t="s">
        <v>16</v>
      </c>
      <c s="1852" t="s">
        <v>4463</v>
      </c>
      <c s="1852" t="s">
        <v>4464</v>
      </c>
      <c s="1852" t="s">
        <v>4465</v>
      </c>
      <c s="1852" t="s">
        <v>2347</v>
      </c>
      <c s="1852" t="s">
        <v>4466</v>
      </c>
      <c s="1852" t="s">
        <v>22</v>
      </c>
      <c s="1852" t="s">
        <v>854</v>
      </c>
    </row>
    <row r="823" spans="1:9" ht="11.25" customHeight="1">
      <c r="A823" s="1852" t="s">
        <v>2247</v>
      </c>
      <c s="1852" t="s">
        <v>16</v>
      </c>
      <c s="1852" t="s">
        <v>4467</v>
      </c>
      <c s="1852" t="s">
        <v>4468</v>
      </c>
      <c s="1852" t="s">
        <v>4469</v>
      </c>
      <c s="1852" t="s">
        <v>4470</v>
      </c>
      <c s="1852" t="s">
        <v>4471</v>
      </c>
      <c s="1852" t="s">
        <v>22</v>
      </c>
      <c s="1852" t="s">
        <v>854</v>
      </c>
    </row>
    <row r="824" spans="1:9" ht="11.25" customHeight="1">
      <c r="A824" s="1852" t="s">
        <v>2247</v>
      </c>
      <c s="1852" t="s">
        <v>16</v>
      </c>
      <c s="1852" t="s">
        <v>4472</v>
      </c>
      <c s="1852" t="s">
        <v>4473</v>
      </c>
      <c s="1852" t="s">
        <v>4474</v>
      </c>
      <c s="1852" t="s">
        <v>51</v>
      </c>
      <c s="1852" t="s">
        <v>4475</v>
      </c>
      <c s="1852" t="s">
        <v>22</v>
      </c>
      <c s="1852" t="s">
        <v>854</v>
      </c>
    </row>
    <row r="825" spans="1:9" ht="11.25" customHeight="1">
      <c r="A825" s="1852" t="s">
        <v>2247</v>
      </c>
      <c s="1852" t="s">
        <v>16</v>
      </c>
      <c s="1852" t="s">
        <v>4476</v>
      </c>
      <c s="1852" t="s">
        <v>4477</v>
      </c>
      <c s="1852" t="s">
        <v>4478</v>
      </c>
      <c s="1852" t="s">
        <v>2604</v>
      </c>
      <c s="1852" t="s">
        <v>4479</v>
      </c>
      <c s="1852" t="s">
        <v>22</v>
      </c>
      <c s="1852" t="s">
        <v>854</v>
      </c>
    </row>
    <row r="826" spans="1:9" ht="11.25" customHeight="1">
      <c r="A826" s="1852" t="s">
        <v>2247</v>
      </c>
      <c s="1852" t="s">
        <v>16</v>
      </c>
      <c s="1852" t="s">
        <v>4480</v>
      </c>
      <c s="1852" t="s">
        <v>4481</v>
      </c>
      <c s="1852" t="s">
        <v>4482</v>
      </c>
      <c s="1852" t="s">
        <v>2272</v>
      </c>
      <c s="1852" t="s">
        <v>4483</v>
      </c>
      <c s="1852" t="s">
        <v>22</v>
      </c>
      <c s="1852" t="s">
        <v>854</v>
      </c>
    </row>
    <row r="827" spans="1:9" ht="11.25" customHeight="1">
      <c r="A827" s="1852" t="s">
        <v>2247</v>
      </c>
      <c s="1852" t="s">
        <v>16</v>
      </c>
      <c s="1852" t="s">
        <v>3064</v>
      </c>
      <c s="1852" t="s">
        <v>3065</v>
      </c>
      <c s="1852" t="s">
        <v>3066</v>
      </c>
      <c s="1852" t="s">
        <v>2584</v>
      </c>
      <c s="1852" t="s">
        <v>22</v>
      </c>
      <c s="1852" t="s">
        <v>22</v>
      </c>
      <c s="1852" t="s">
        <v>854</v>
      </c>
    </row>
    <row r="828" spans="1:9" ht="11.25" customHeight="1">
      <c r="A828" s="1852" t="s">
        <v>2247</v>
      </c>
      <c s="1852" t="s">
        <v>16</v>
      </c>
      <c s="1852" t="s">
        <v>4484</v>
      </c>
      <c s="1852" t="s">
        <v>4485</v>
      </c>
      <c s="1852" t="s">
        <v>4486</v>
      </c>
      <c s="1852" t="s">
        <v>2760</v>
      </c>
      <c s="1852" t="s">
        <v>4487</v>
      </c>
      <c s="1852" t="s">
        <v>22</v>
      </c>
      <c s="1852" t="s">
        <v>854</v>
      </c>
    </row>
    <row r="829" spans="1:9" ht="11.25" customHeight="1">
      <c r="A829" s="1852" t="s">
        <v>2247</v>
      </c>
      <c s="1852" t="s">
        <v>16</v>
      </c>
      <c s="1852" t="s">
        <v>4488</v>
      </c>
      <c s="1852" t="s">
        <v>4489</v>
      </c>
      <c s="1852" t="s">
        <v>4490</v>
      </c>
      <c s="1852" t="s">
        <v>2704</v>
      </c>
      <c s="1852" t="s">
        <v>3824</v>
      </c>
      <c s="1852" t="s">
        <v>22</v>
      </c>
      <c s="1852" t="s">
        <v>854</v>
      </c>
    </row>
    <row r="830" spans="1:9" ht="11.25" customHeight="1">
      <c r="A830" s="1852" t="s">
        <v>2247</v>
      </c>
      <c s="1852" t="s">
        <v>16</v>
      </c>
      <c s="1852" t="s">
        <v>4491</v>
      </c>
      <c s="1852" t="s">
        <v>4492</v>
      </c>
      <c s="1852" t="s">
        <v>4493</v>
      </c>
      <c s="1852" t="s">
        <v>2636</v>
      </c>
      <c s="1852" t="s">
        <v>22</v>
      </c>
      <c s="1852" t="s">
        <v>22</v>
      </c>
      <c s="1852" t="s">
        <v>854</v>
      </c>
    </row>
    <row r="831" spans="1:9" ht="11.25" customHeight="1">
      <c r="A831" s="1852" t="s">
        <v>2247</v>
      </c>
      <c s="1852" t="s">
        <v>16</v>
      </c>
      <c s="1852" t="s">
        <v>3071</v>
      </c>
      <c s="1852" t="s">
        <v>3072</v>
      </c>
      <c s="1852" t="s">
        <v>3073</v>
      </c>
      <c s="1852" t="s">
        <v>2411</v>
      </c>
      <c s="1852" t="s">
        <v>3074</v>
      </c>
      <c s="1852" t="s">
        <v>22</v>
      </c>
      <c s="1852" t="s">
        <v>854</v>
      </c>
    </row>
    <row r="832" spans="1:9" ht="11.25" customHeight="1">
      <c r="A832" s="1852" t="s">
        <v>2247</v>
      </c>
      <c s="1852" t="s">
        <v>16</v>
      </c>
      <c s="1852" t="s">
        <v>4494</v>
      </c>
      <c s="1852" t="s">
        <v>4495</v>
      </c>
      <c s="1852" t="s">
        <v>4496</v>
      </c>
      <c s="1852" t="s">
        <v>2366</v>
      </c>
      <c s="1852" t="s">
        <v>4497</v>
      </c>
      <c s="1852" t="s">
        <v>22</v>
      </c>
      <c s="1852" t="s">
        <v>854</v>
      </c>
    </row>
    <row r="833" spans="1:9" ht="11.25" customHeight="1">
      <c r="A833" s="1852" t="s">
        <v>2247</v>
      </c>
      <c s="1852" t="s">
        <v>16</v>
      </c>
      <c s="1852" t="s">
        <v>4498</v>
      </c>
      <c s="1852" t="s">
        <v>4499</v>
      </c>
      <c s="1852" t="s">
        <v>4500</v>
      </c>
      <c s="1852" t="s">
        <v>2272</v>
      </c>
      <c s="1852" t="s">
        <v>4501</v>
      </c>
      <c s="1852" t="s">
        <v>22</v>
      </c>
      <c s="1852" t="s">
        <v>854</v>
      </c>
    </row>
    <row r="834" spans="1:9" ht="11.25" customHeight="1">
      <c r="A834" s="1852" t="s">
        <v>2247</v>
      </c>
      <c s="1852" t="s">
        <v>16</v>
      </c>
      <c s="1852" t="s">
        <v>4502</v>
      </c>
      <c s="1852" t="s">
        <v>4503</v>
      </c>
      <c s="1852" t="s">
        <v>4504</v>
      </c>
      <c s="1852" t="s">
        <v>2659</v>
      </c>
      <c s="1852" t="s">
        <v>22</v>
      </c>
      <c s="1852" t="s">
        <v>22</v>
      </c>
      <c s="1852" t="s">
        <v>854</v>
      </c>
    </row>
    <row r="835" spans="1:9" ht="11.25" customHeight="1">
      <c r="A835" s="1852" t="s">
        <v>2247</v>
      </c>
      <c s="1852" t="s">
        <v>16</v>
      </c>
      <c s="1852" t="s">
        <v>4505</v>
      </c>
      <c s="1852" t="s">
        <v>4506</v>
      </c>
      <c s="1852" t="s">
        <v>4507</v>
      </c>
      <c s="1852" t="s">
        <v>2272</v>
      </c>
      <c s="1852" t="s">
        <v>4508</v>
      </c>
      <c s="1852" t="s">
        <v>22</v>
      </c>
      <c s="1852" t="s">
        <v>854</v>
      </c>
    </row>
    <row r="836" spans="1:9" ht="11.25" customHeight="1">
      <c r="A836" s="1852" t="s">
        <v>2247</v>
      </c>
      <c s="1852" t="s">
        <v>16</v>
      </c>
      <c s="1852" t="s">
        <v>4509</v>
      </c>
      <c s="1852" t="s">
        <v>4510</v>
      </c>
      <c s="1852" t="s">
        <v>4511</v>
      </c>
      <c s="1852" t="s">
        <v>4512</v>
      </c>
      <c s="1852" t="s">
        <v>4513</v>
      </c>
      <c s="1852" t="s">
        <v>22</v>
      </c>
      <c s="1852" t="s">
        <v>854</v>
      </c>
    </row>
    <row r="837" spans="1:9" ht="11.25" customHeight="1">
      <c r="A837" s="1852" t="s">
        <v>2247</v>
      </c>
      <c s="1852" t="s">
        <v>16</v>
      </c>
      <c s="1852" t="s">
        <v>4514</v>
      </c>
      <c s="1852" t="s">
        <v>4515</v>
      </c>
      <c s="1852" t="s">
        <v>4516</v>
      </c>
      <c s="1852" t="s">
        <v>2659</v>
      </c>
      <c s="1852" t="s">
        <v>4517</v>
      </c>
      <c s="1852" t="s">
        <v>22</v>
      </c>
      <c s="1852" t="s">
        <v>854</v>
      </c>
    </row>
    <row r="838" spans="1:9" ht="11.25" customHeight="1">
      <c r="A838" s="1852" t="s">
        <v>2247</v>
      </c>
      <c s="1852" t="s">
        <v>16</v>
      </c>
      <c s="1852" t="s">
        <v>3107</v>
      </c>
      <c s="1852" t="s">
        <v>3108</v>
      </c>
      <c s="1852" t="s">
        <v>3109</v>
      </c>
      <c s="1852" t="s">
        <v>2256</v>
      </c>
      <c s="1852" t="s">
        <v>3110</v>
      </c>
      <c s="1852" t="s">
        <v>22</v>
      </c>
      <c s="1852" t="s">
        <v>854</v>
      </c>
    </row>
    <row r="839" spans="1:9" ht="11.25" customHeight="1">
      <c r="A839" s="1852" t="s">
        <v>2247</v>
      </c>
      <c s="1852" t="s">
        <v>16</v>
      </c>
      <c s="1852" t="s">
        <v>4518</v>
      </c>
      <c s="1852" t="s">
        <v>4519</v>
      </c>
      <c s="1852" t="s">
        <v>4520</v>
      </c>
      <c s="1852" t="s">
        <v>4521</v>
      </c>
      <c s="1852" t="s">
        <v>4522</v>
      </c>
      <c s="1852" t="s">
        <v>22</v>
      </c>
      <c s="1852" t="s">
        <v>854</v>
      </c>
    </row>
    <row r="840" spans="1:9" ht="11.25" customHeight="1">
      <c r="A840" s="1852" t="s">
        <v>2247</v>
      </c>
      <c s="1852" t="s">
        <v>16</v>
      </c>
      <c s="1852" t="s">
        <v>4523</v>
      </c>
      <c s="1852" t="s">
        <v>4524</v>
      </c>
      <c s="1852" t="s">
        <v>4525</v>
      </c>
      <c s="1852" t="s">
        <v>2265</v>
      </c>
      <c s="1852" t="s">
        <v>22</v>
      </c>
      <c s="1852" t="s">
        <v>22</v>
      </c>
      <c s="1852" t="s">
        <v>854</v>
      </c>
    </row>
    <row r="841" spans="1:9" ht="11.25" customHeight="1">
      <c r="A841" s="1852" t="s">
        <v>2247</v>
      </c>
      <c s="1852" t="s">
        <v>16</v>
      </c>
      <c s="1852" t="s">
        <v>4526</v>
      </c>
      <c s="1852" t="s">
        <v>4527</v>
      </c>
      <c s="1852" t="s">
        <v>4528</v>
      </c>
      <c s="1852" t="s">
        <v>51</v>
      </c>
      <c s="1852" t="s">
        <v>4529</v>
      </c>
      <c s="1852" t="s">
        <v>22</v>
      </c>
      <c s="1852" t="s">
        <v>854</v>
      </c>
    </row>
    <row r="842" spans="1:9" ht="11.25" customHeight="1">
      <c r="A842" s="1852" t="s">
        <v>2247</v>
      </c>
      <c s="1852" t="s">
        <v>16</v>
      </c>
      <c s="1852" t="s">
        <v>4530</v>
      </c>
      <c s="1852" t="s">
        <v>4531</v>
      </c>
      <c s="1852" t="s">
        <v>4507</v>
      </c>
      <c s="1852" t="s">
        <v>2256</v>
      </c>
      <c s="1852" t="s">
        <v>4532</v>
      </c>
      <c s="1852" t="s">
        <v>22</v>
      </c>
      <c s="1852" t="s">
        <v>854</v>
      </c>
    </row>
    <row r="843" spans="1:9" ht="11.25" customHeight="1">
      <c r="A843" s="1852" t="s">
        <v>2247</v>
      </c>
      <c s="1852" t="s">
        <v>16</v>
      </c>
      <c s="1852" t="s">
        <v>3118</v>
      </c>
      <c s="1852" t="s">
        <v>3119</v>
      </c>
      <c s="1852" t="s">
        <v>3120</v>
      </c>
      <c s="1852" t="s">
        <v>2259</v>
      </c>
      <c s="1852" t="s">
        <v>3121</v>
      </c>
      <c s="1852" t="s">
        <v>22</v>
      </c>
      <c s="1852" t="s">
        <v>854</v>
      </c>
    </row>
    <row r="844" spans="1:9" ht="11.25" customHeight="1">
      <c r="A844" s="1852" t="s">
        <v>2247</v>
      </c>
      <c s="1852" t="s">
        <v>16</v>
      </c>
      <c s="1852" t="s">
        <v>3199</v>
      </c>
      <c s="1852" t="s">
        <v>3200</v>
      </c>
      <c s="1852" t="s">
        <v>3201</v>
      </c>
      <c s="1852" t="s">
        <v>2411</v>
      </c>
      <c s="1852" t="s">
        <v>3202</v>
      </c>
      <c s="1852" t="s">
        <v>22</v>
      </c>
      <c s="1852" t="s">
        <v>854</v>
      </c>
    </row>
    <row r="845" spans="1:9" ht="11.25" customHeight="1">
      <c r="A845" s="1852" t="s">
        <v>2247</v>
      </c>
      <c s="1852" t="s">
        <v>16</v>
      </c>
      <c s="1852" t="s">
        <v>4533</v>
      </c>
      <c s="1852" t="s">
        <v>4534</v>
      </c>
      <c s="1852" t="s">
        <v>4535</v>
      </c>
      <c s="1852" t="s">
        <v>2851</v>
      </c>
      <c s="1852" t="s">
        <v>4536</v>
      </c>
      <c s="1852" t="s">
        <v>22</v>
      </c>
      <c s="1852" t="s">
        <v>854</v>
      </c>
    </row>
    <row r="846" spans="1:9" ht="11.25" customHeight="1">
      <c r="A846" s="1852" t="s">
        <v>2247</v>
      </c>
      <c s="1852" t="s">
        <v>16</v>
      </c>
      <c s="1852" t="s">
        <v>4537</v>
      </c>
      <c s="1852" t="s">
        <v>4538</v>
      </c>
      <c s="1852" t="s">
        <v>4539</v>
      </c>
      <c s="1852" t="s">
        <v>2988</v>
      </c>
      <c s="1852" t="s">
        <v>4540</v>
      </c>
      <c s="1852" t="s">
        <v>22</v>
      </c>
      <c s="1852" t="s">
        <v>854</v>
      </c>
    </row>
    <row r="847" spans="1:9" ht="11.25" customHeight="1">
      <c r="A847" s="1852" t="s">
        <v>2247</v>
      </c>
      <c s="1852" t="s">
        <v>16</v>
      </c>
      <c s="1852" t="s">
        <v>4541</v>
      </c>
      <c s="1852" t="s">
        <v>4542</v>
      </c>
      <c s="1852" t="s">
        <v>4543</v>
      </c>
      <c s="1852" t="s">
        <v>2659</v>
      </c>
      <c s="1852" t="s">
        <v>4544</v>
      </c>
      <c s="1852" t="s">
        <v>22</v>
      </c>
      <c s="1852" t="s">
        <v>854</v>
      </c>
    </row>
    <row r="848" spans="1:9" ht="11.25" customHeight="1">
      <c r="A848" s="1852" t="s">
        <v>2247</v>
      </c>
      <c s="1852" t="s">
        <v>16</v>
      </c>
      <c s="1852" t="s">
        <v>4545</v>
      </c>
      <c s="1852" t="s">
        <v>4546</v>
      </c>
      <c s="1852" t="s">
        <v>4547</v>
      </c>
      <c s="1852" t="s">
        <v>2286</v>
      </c>
      <c s="1852" t="s">
        <v>22</v>
      </c>
      <c s="1852" t="s">
        <v>22</v>
      </c>
      <c s="1852" t="s">
        <v>854</v>
      </c>
    </row>
    <row r="849" spans="1:9" ht="11.25" customHeight="1">
      <c r="A849" s="1852" t="s">
        <v>2247</v>
      </c>
      <c s="1852" t="s">
        <v>16</v>
      </c>
      <c s="1852" t="s">
        <v>3247</v>
      </c>
      <c s="1852" t="s">
        <v>3248</v>
      </c>
      <c s="1852" t="s">
        <v>3249</v>
      </c>
      <c s="1852" t="s">
        <v>2277</v>
      </c>
      <c s="1852" t="s">
        <v>3250</v>
      </c>
      <c s="1852" t="s">
        <v>22</v>
      </c>
      <c s="1852" t="s">
        <v>854</v>
      </c>
    </row>
    <row r="850" spans="1:9" ht="11.25" customHeight="1">
      <c r="A850" s="1852" t="s">
        <v>2247</v>
      </c>
      <c s="1852" t="s">
        <v>16</v>
      </c>
      <c s="1852" t="s">
        <v>3251</v>
      </c>
      <c s="1852" t="s">
        <v>3252</v>
      </c>
      <c s="1852" t="s">
        <v>3253</v>
      </c>
      <c s="1852" t="s">
        <v>51</v>
      </c>
      <c s="1852" t="s">
        <v>3254</v>
      </c>
      <c s="1852" t="s">
        <v>22</v>
      </c>
      <c s="1852" t="s">
        <v>854</v>
      </c>
    </row>
    <row r="851" spans="1:9" ht="11.25" customHeight="1">
      <c r="A851" s="1852" t="s">
        <v>2247</v>
      </c>
      <c s="1852" t="s">
        <v>16</v>
      </c>
      <c s="1852" t="s">
        <v>4548</v>
      </c>
      <c s="1852" t="s">
        <v>4549</v>
      </c>
      <c s="1852" t="s">
        <v>4550</v>
      </c>
      <c s="1852" t="s">
        <v>4551</v>
      </c>
      <c s="1852" t="s">
        <v>3103</v>
      </c>
      <c s="1852" t="s">
        <v>22</v>
      </c>
      <c s="1852" t="s">
        <v>854</v>
      </c>
    </row>
    <row r="852" spans="1:9" ht="11.25" customHeight="1">
      <c r="A852" s="1852" t="s">
        <v>2247</v>
      </c>
      <c s="1852" t="s">
        <v>16</v>
      </c>
      <c s="1852" t="s">
        <v>4552</v>
      </c>
      <c s="1852" t="s">
        <v>4553</v>
      </c>
      <c s="1852" t="s">
        <v>4554</v>
      </c>
      <c s="1852" t="s">
        <v>2567</v>
      </c>
      <c s="1852" t="s">
        <v>4555</v>
      </c>
      <c s="1852" t="s">
        <v>22</v>
      </c>
      <c s="1852" t="s">
        <v>854</v>
      </c>
    </row>
    <row r="853" spans="1:9" ht="11.25" customHeight="1">
      <c r="A853" s="1852" t="s">
        <v>2247</v>
      </c>
      <c s="1852" t="s">
        <v>16</v>
      </c>
      <c s="1852" t="s">
        <v>4556</v>
      </c>
      <c s="1852" t="s">
        <v>4557</v>
      </c>
      <c s="1852" t="s">
        <v>4558</v>
      </c>
      <c s="1852" t="s">
        <v>51</v>
      </c>
      <c s="1852" t="s">
        <v>4559</v>
      </c>
      <c s="1852" t="s">
        <v>22</v>
      </c>
      <c s="1852" t="s">
        <v>854</v>
      </c>
    </row>
    <row r="854" spans="1:9" ht="11.25" customHeight="1">
      <c r="A854" s="1852" t="s">
        <v>2247</v>
      </c>
      <c s="1852" t="s">
        <v>16</v>
      </c>
      <c s="1852" t="s">
        <v>4560</v>
      </c>
      <c s="1852" t="s">
        <v>4561</v>
      </c>
      <c s="1852" t="s">
        <v>4562</v>
      </c>
      <c s="1852" t="s">
        <v>2699</v>
      </c>
      <c s="1852" t="s">
        <v>4563</v>
      </c>
      <c s="1852" t="s">
        <v>22</v>
      </c>
      <c s="1852" t="s">
        <v>854</v>
      </c>
    </row>
    <row r="855" spans="1:9" ht="11.25" customHeight="1">
      <c r="A855" s="1852" t="s">
        <v>2247</v>
      </c>
      <c s="1852" t="s">
        <v>16</v>
      </c>
      <c s="1852" t="s">
        <v>4564</v>
      </c>
      <c s="1852" t="s">
        <v>4565</v>
      </c>
      <c s="1852" t="s">
        <v>4566</v>
      </c>
      <c s="1852" t="s">
        <v>2727</v>
      </c>
      <c s="1852" t="s">
        <v>4567</v>
      </c>
      <c s="1852" t="s">
        <v>22</v>
      </c>
      <c s="1852" t="s">
        <v>854</v>
      </c>
    </row>
    <row r="856" spans="1:9" ht="11.25" customHeight="1">
      <c r="A856" s="1852" t="s">
        <v>2247</v>
      </c>
      <c s="1852" t="s">
        <v>16</v>
      </c>
      <c s="1852" t="s">
        <v>3288</v>
      </c>
      <c s="1852" t="s">
        <v>3289</v>
      </c>
      <c s="1852" t="s">
        <v>3290</v>
      </c>
      <c s="1852" t="s">
        <v>2272</v>
      </c>
      <c s="1852" t="s">
        <v>22</v>
      </c>
      <c s="1852" t="s">
        <v>22</v>
      </c>
      <c s="1852" t="s">
        <v>854</v>
      </c>
    </row>
    <row r="857" spans="1:9" ht="11.25" customHeight="1">
      <c r="A857" s="1852" t="s">
        <v>2247</v>
      </c>
      <c s="1852" t="s">
        <v>16</v>
      </c>
      <c s="1852" t="s">
        <v>4568</v>
      </c>
      <c s="1852" t="s">
        <v>4569</v>
      </c>
      <c s="1852" t="s">
        <v>4570</v>
      </c>
      <c s="1852" t="s">
        <v>2519</v>
      </c>
      <c s="1852" t="s">
        <v>4571</v>
      </c>
      <c s="1852" t="s">
        <v>22</v>
      </c>
      <c s="1852" t="s">
        <v>854</v>
      </c>
    </row>
    <row r="858" spans="1:9" ht="11.25" customHeight="1">
      <c r="A858" s="1852" t="s">
        <v>2247</v>
      </c>
      <c s="1852" t="s">
        <v>16</v>
      </c>
      <c s="1852" t="s">
        <v>3313</v>
      </c>
      <c s="1852" t="s">
        <v>3314</v>
      </c>
      <c s="1852" t="s">
        <v>3315</v>
      </c>
      <c s="1852" t="s">
        <v>2272</v>
      </c>
      <c s="1852" t="s">
        <v>3316</v>
      </c>
      <c s="1852" t="s">
        <v>22</v>
      </c>
      <c s="1852" t="s">
        <v>854</v>
      </c>
    </row>
    <row r="859" spans="1:9" ht="11.25" customHeight="1">
      <c r="A859" s="1852" t="s">
        <v>2247</v>
      </c>
      <c s="1852" t="s">
        <v>16</v>
      </c>
      <c s="1852" t="s">
        <v>4572</v>
      </c>
      <c s="1852" t="s">
        <v>4573</v>
      </c>
      <c s="1852" t="s">
        <v>4574</v>
      </c>
      <c s="1852" t="s">
        <v>2272</v>
      </c>
      <c s="1852" t="s">
        <v>4575</v>
      </c>
      <c s="1852" t="s">
        <v>22</v>
      </c>
      <c s="1852" t="s">
        <v>854</v>
      </c>
    </row>
    <row r="860" spans="1:9" ht="11.25" customHeight="1">
      <c r="A860" s="1852" t="s">
        <v>2247</v>
      </c>
      <c s="1852" t="s">
        <v>16</v>
      </c>
      <c s="1852" t="s">
        <v>4576</v>
      </c>
      <c s="1852" t="s">
        <v>4577</v>
      </c>
      <c s="1852" t="s">
        <v>4578</v>
      </c>
      <c s="1852" t="s">
        <v>4579</v>
      </c>
      <c s="1852" t="s">
        <v>4580</v>
      </c>
      <c s="1852" t="s">
        <v>22</v>
      </c>
      <c s="1852" t="s">
        <v>854</v>
      </c>
    </row>
    <row r="861" spans="1:9" ht="11.25" customHeight="1">
      <c r="A861" s="1852" t="s">
        <v>2247</v>
      </c>
      <c s="1852" t="s">
        <v>16</v>
      </c>
      <c s="1852" t="s">
        <v>4581</v>
      </c>
      <c s="1852" t="s">
        <v>4582</v>
      </c>
      <c s="1852" t="s">
        <v>4583</v>
      </c>
      <c s="1852" t="s">
        <v>2272</v>
      </c>
      <c s="1852" t="s">
        <v>4584</v>
      </c>
      <c s="1852" t="s">
        <v>22</v>
      </c>
      <c s="1852" t="s">
        <v>854</v>
      </c>
    </row>
    <row r="862" spans="1:9" ht="11.25" customHeight="1">
      <c r="A862" s="1852" t="s">
        <v>2247</v>
      </c>
      <c s="1852" t="s">
        <v>16</v>
      </c>
      <c s="1852" t="s">
        <v>3324</v>
      </c>
      <c s="1852" t="s">
        <v>3325</v>
      </c>
      <c s="1852" t="s">
        <v>3326</v>
      </c>
      <c s="1852" t="s">
        <v>2286</v>
      </c>
      <c s="1852" t="s">
        <v>22</v>
      </c>
      <c s="1852" t="s">
        <v>22</v>
      </c>
      <c s="1852" t="s">
        <v>854</v>
      </c>
    </row>
    <row r="863" spans="1:9" ht="11.25" customHeight="1">
      <c r="A863" s="1852" t="s">
        <v>2247</v>
      </c>
      <c s="1852" t="s">
        <v>16</v>
      </c>
      <c s="1852" t="s">
        <v>4585</v>
      </c>
      <c s="1852" t="s">
        <v>4586</v>
      </c>
      <c s="1852" t="s">
        <v>4587</v>
      </c>
      <c s="1852" t="s">
        <v>2272</v>
      </c>
      <c s="1852" t="s">
        <v>4588</v>
      </c>
      <c s="1852" t="s">
        <v>22</v>
      </c>
      <c s="1852" t="s">
        <v>854</v>
      </c>
    </row>
    <row r="864" spans="1:9" ht="11.25" customHeight="1">
      <c r="A864" s="1852" t="s">
        <v>2247</v>
      </c>
      <c s="1852" t="s">
        <v>16</v>
      </c>
      <c s="1852" t="s">
        <v>4589</v>
      </c>
      <c s="1852" t="s">
        <v>4590</v>
      </c>
      <c s="1852" t="s">
        <v>4591</v>
      </c>
      <c s="1852" t="s">
        <v>2659</v>
      </c>
      <c s="1852" t="s">
        <v>4592</v>
      </c>
      <c s="1852" t="s">
        <v>22</v>
      </c>
      <c s="1852" t="s">
        <v>854</v>
      </c>
    </row>
    <row r="865" spans="1:9" ht="11.25" customHeight="1">
      <c r="A865" s="1852" t="s">
        <v>2247</v>
      </c>
      <c s="1852" t="s">
        <v>16</v>
      </c>
      <c s="1852" t="s">
        <v>4593</v>
      </c>
      <c s="1852" t="s">
        <v>4594</v>
      </c>
      <c s="1852" t="s">
        <v>4595</v>
      </c>
      <c s="1852" t="s">
        <v>2272</v>
      </c>
      <c s="1852" t="s">
        <v>4596</v>
      </c>
      <c s="1852" t="s">
        <v>22</v>
      </c>
      <c s="1852" t="s">
        <v>854</v>
      </c>
    </row>
    <row r="866" spans="1:9" ht="11.25" customHeight="1">
      <c r="A866" s="1852" t="s">
        <v>2247</v>
      </c>
      <c s="1852" t="s">
        <v>16</v>
      </c>
      <c s="1852" t="s">
        <v>3331</v>
      </c>
      <c s="1852" t="s">
        <v>3332</v>
      </c>
      <c s="1852" t="s">
        <v>3333</v>
      </c>
      <c s="1852" t="s">
        <v>2277</v>
      </c>
      <c s="1852" t="s">
        <v>3334</v>
      </c>
      <c s="1852" t="s">
        <v>22</v>
      </c>
      <c s="1852" t="s">
        <v>854</v>
      </c>
    </row>
    <row r="867" spans="1:9" ht="11.25" customHeight="1">
      <c r="A867" s="1852" t="s">
        <v>2247</v>
      </c>
      <c s="1852" t="s">
        <v>16</v>
      </c>
      <c s="1852" t="s">
        <v>3335</v>
      </c>
      <c s="1852" t="s">
        <v>3336</v>
      </c>
      <c s="1852" t="s">
        <v>3337</v>
      </c>
      <c s="1852" t="s">
        <v>2357</v>
      </c>
      <c s="1852" t="s">
        <v>22</v>
      </c>
      <c s="1852" t="s">
        <v>22</v>
      </c>
      <c s="1852" t="s">
        <v>854</v>
      </c>
    </row>
    <row r="868" spans="1:9" ht="11.25" customHeight="1">
      <c r="A868" s="1852" t="s">
        <v>2247</v>
      </c>
      <c s="1852" t="s">
        <v>16</v>
      </c>
      <c s="1852" t="s">
        <v>3341</v>
      </c>
      <c s="1852" t="s">
        <v>3342</v>
      </c>
      <c s="1852" t="s">
        <v>3343</v>
      </c>
      <c s="1852" t="s">
        <v>3344</v>
      </c>
      <c s="1852" t="s">
        <v>3345</v>
      </c>
      <c s="1852" t="s">
        <v>22</v>
      </c>
      <c s="1852" t="s">
        <v>854</v>
      </c>
    </row>
    <row r="869" spans="1:9" ht="11.25" customHeight="1">
      <c r="A869" s="1852" t="s">
        <v>2247</v>
      </c>
      <c s="1852" t="s">
        <v>16</v>
      </c>
      <c s="1852" t="s">
        <v>4597</v>
      </c>
      <c s="1852" t="s">
        <v>4598</v>
      </c>
      <c s="1852" t="s">
        <v>4599</v>
      </c>
      <c s="1852" t="s">
        <v>51</v>
      </c>
      <c s="1852" t="s">
        <v>4600</v>
      </c>
      <c s="1852" t="s">
        <v>22</v>
      </c>
      <c s="1852" t="s">
        <v>854</v>
      </c>
    </row>
    <row r="870" spans="1:9" ht="11.25" customHeight="1">
      <c r="A870" s="1852" t="s">
        <v>2247</v>
      </c>
      <c s="1852" t="s">
        <v>16</v>
      </c>
      <c s="1852" t="s">
        <v>4601</v>
      </c>
      <c s="1852" t="s">
        <v>4602</v>
      </c>
      <c s="1852" t="s">
        <v>4603</v>
      </c>
      <c s="1852" t="s">
        <v>2286</v>
      </c>
      <c s="1852" t="s">
        <v>22</v>
      </c>
      <c s="1852" t="s">
        <v>22</v>
      </c>
      <c s="1852" t="s">
        <v>854</v>
      </c>
    </row>
    <row r="871" spans="1:9" ht="11.25" customHeight="1">
      <c r="A871" s="1852" t="s">
        <v>2247</v>
      </c>
      <c s="1852" t="s">
        <v>16</v>
      </c>
      <c s="1852" t="s">
        <v>3580</v>
      </c>
      <c s="1852" t="s">
        <v>3581</v>
      </c>
      <c s="1852" t="s">
        <v>2299</v>
      </c>
      <c s="1852" t="s">
        <v>3582</v>
      </c>
      <c s="1852" t="s">
        <v>3583</v>
      </c>
      <c s="1852" t="s">
        <v>22</v>
      </c>
      <c s="1852" t="s">
        <v>854</v>
      </c>
    </row>
    <row r="872" spans="1:9" ht="11.25" customHeight="1">
      <c r="A872" s="1852" t="s">
        <v>2247</v>
      </c>
      <c s="1852" t="s">
        <v>16</v>
      </c>
      <c s="1852" t="s">
        <v>4604</v>
      </c>
      <c s="1852" t="s">
        <v>4605</v>
      </c>
      <c s="1852" t="s">
        <v>4606</v>
      </c>
      <c s="1852" t="s">
        <v>2265</v>
      </c>
      <c s="1852" t="s">
        <v>22</v>
      </c>
      <c s="1852" t="s">
        <v>22</v>
      </c>
      <c s="1852" t="s">
        <v>854</v>
      </c>
    </row>
    <row r="873" spans="1:9" ht="11.25" customHeight="1">
      <c r="A873" s="1852" t="s">
        <v>2247</v>
      </c>
      <c s="1852" t="s">
        <v>16</v>
      </c>
      <c s="1852" t="s">
        <v>3385</v>
      </c>
      <c s="1852" t="s">
        <v>3386</v>
      </c>
      <c s="1852" t="s">
        <v>3387</v>
      </c>
      <c s="1852" t="s">
        <v>2347</v>
      </c>
      <c s="1852" t="s">
        <v>22</v>
      </c>
      <c s="1852" t="s">
        <v>22</v>
      </c>
      <c s="1852" t="s">
        <v>854</v>
      </c>
    </row>
    <row r="874" spans="1:9" ht="11.25" customHeight="1">
      <c r="A874" s="1852" t="s">
        <v>2247</v>
      </c>
      <c s="1852" t="s">
        <v>16</v>
      </c>
      <c s="1852" t="s">
        <v>4607</v>
      </c>
      <c s="1852" t="s">
        <v>4608</v>
      </c>
      <c s="1852" t="s">
        <v>4609</v>
      </c>
      <c s="1852" t="s">
        <v>2746</v>
      </c>
      <c s="1852" t="s">
        <v>3824</v>
      </c>
      <c s="1852" t="s">
        <v>22</v>
      </c>
      <c s="1852" t="s">
        <v>854</v>
      </c>
    </row>
    <row r="875" spans="1:9" ht="11.25" customHeight="1">
      <c r="A875" s="1852" t="s">
        <v>2247</v>
      </c>
      <c s="1852" t="s">
        <v>16</v>
      </c>
      <c s="1852" t="s">
        <v>4610</v>
      </c>
      <c s="1852" t="s">
        <v>4611</v>
      </c>
      <c s="1852" t="s">
        <v>4612</v>
      </c>
      <c s="1852" t="s">
        <v>3401</v>
      </c>
      <c s="1852" t="s">
        <v>4613</v>
      </c>
      <c s="1852" t="s">
        <v>22</v>
      </c>
      <c s="1852" t="s">
        <v>854</v>
      </c>
    </row>
    <row r="876" spans="1:9" ht="11.25" customHeight="1">
      <c r="A876" s="1852" t="s">
        <v>2247</v>
      </c>
      <c s="1852" t="s">
        <v>16</v>
      </c>
      <c s="1852" t="s">
        <v>4614</v>
      </c>
      <c s="1852" t="s">
        <v>4615</v>
      </c>
      <c s="1852" t="s">
        <v>4616</v>
      </c>
      <c s="1852" t="s">
        <v>4617</v>
      </c>
      <c s="1852" t="s">
        <v>4618</v>
      </c>
      <c s="1852" t="s">
        <v>22</v>
      </c>
      <c s="1852" t="s">
        <v>854</v>
      </c>
    </row>
    <row r="877" spans="1:9" ht="11.25" customHeight="1">
      <c r="A877" s="1852" t="s">
        <v>2247</v>
      </c>
      <c s="1852" t="s">
        <v>16</v>
      </c>
      <c s="1852" t="s">
        <v>4619</v>
      </c>
      <c s="1852" t="s">
        <v>4620</v>
      </c>
      <c s="1852" t="s">
        <v>4621</v>
      </c>
      <c s="1852" t="s">
        <v>2746</v>
      </c>
      <c s="1852" t="s">
        <v>3824</v>
      </c>
      <c s="1852" t="s">
        <v>22</v>
      </c>
      <c s="1852" t="s">
        <v>854</v>
      </c>
    </row>
    <row r="878" spans="1:9" ht="11.25" customHeight="1">
      <c r="A878" s="1852" t="s">
        <v>2247</v>
      </c>
      <c s="1852" t="s">
        <v>16</v>
      </c>
      <c s="1852" t="s">
        <v>4622</v>
      </c>
      <c s="1852" t="s">
        <v>4623</v>
      </c>
      <c s="1852" t="s">
        <v>4624</v>
      </c>
      <c s="1852" t="s">
        <v>4625</v>
      </c>
      <c s="1852" t="s">
        <v>22</v>
      </c>
      <c s="1852" t="s">
        <v>22</v>
      </c>
      <c s="1852" t="s">
        <v>854</v>
      </c>
    </row>
    <row r="879" spans="1:9" ht="11.25" customHeight="1">
      <c r="A879" s="1852" t="s">
        <v>2247</v>
      </c>
      <c s="1852" t="s">
        <v>16</v>
      </c>
      <c s="1852" t="s">
        <v>4626</v>
      </c>
      <c s="1852" t="s">
        <v>4627</v>
      </c>
      <c s="1852" t="s">
        <v>4628</v>
      </c>
      <c s="1852" t="s">
        <v>2511</v>
      </c>
      <c s="1852" t="s">
        <v>4629</v>
      </c>
      <c s="1852" t="s">
        <v>22</v>
      </c>
      <c s="1852" t="s">
        <v>854</v>
      </c>
    </row>
    <row r="880" spans="1:9" ht="11.25" customHeight="1">
      <c r="A880" s="1852" t="s">
        <v>2247</v>
      </c>
      <c s="1852" t="s">
        <v>16</v>
      </c>
      <c s="1852" t="s">
        <v>4630</v>
      </c>
      <c s="1852" t="s">
        <v>4631</v>
      </c>
      <c s="1852" t="s">
        <v>4632</v>
      </c>
      <c s="1852" t="s">
        <v>2746</v>
      </c>
      <c s="1852" t="s">
        <v>3824</v>
      </c>
      <c s="1852" t="s">
        <v>22</v>
      </c>
      <c s="1852" t="s">
        <v>854</v>
      </c>
    </row>
    <row r="881" spans="1:9" ht="11.25" customHeight="1">
      <c r="A881" s="1852" t="s">
        <v>2247</v>
      </c>
      <c s="1852" t="s">
        <v>16</v>
      </c>
      <c s="1852" t="s">
        <v>3403</v>
      </c>
      <c s="1852" t="s">
        <v>3404</v>
      </c>
      <c s="1852" t="s">
        <v>3405</v>
      </c>
      <c s="1852" t="s">
        <v>3406</v>
      </c>
      <c s="1852" t="s">
        <v>22</v>
      </c>
      <c s="1852" t="s">
        <v>22</v>
      </c>
      <c s="1852" t="s">
        <v>854</v>
      </c>
    </row>
    <row r="882" spans="1:9" ht="11.25" customHeight="1">
      <c r="A882" s="1852" t="s">
        <v>2247</v>
      </c>
      <c s="1852" t="s">
        <v>16</v>
      </c>
      <c s="1852" t="s">
        <v>3407</v>
      </c>
      <c s="1852" t="s">
        <v>3408</v>
      </c>
      <c s="1852" t="s">
        <v>3409</v>
      </c>
      <c s="1852" t="s">
        <v>3410</v>
      </c>
      <c s="1852" t="s">
        <v>3411</v>
      </c>
      <c s="1852" t="s">
        <v>22</v>
      </c>
      <c s="1852" t="s">
        <v>854</v>
      </c>
    </row>
    <row r="883" spans="1:9" ht="11.25" customHeight="1">
      <c r="A883" s="1852" t="s">
        <v>2247</v>
      </c>
      <c s="1852" t="s">
        <v>16</v>
      </c>
      <c s="1852" t="s">
        <v>3424</v>
      </c>
      <c s="1852" t="s">
        <v>3425</v>
      </c>
      <c s="1852" t="s">
        <v>3426</v>
      </c>
      <c s="1852" t="s">
        <v>2411</v>
      </c>
      <c s="1852" t="s">
        <v>3427</v>
      </c>
      <c s="1852" t="s">
        <v>22</v>
      </c>
      <c s="1852" t="s">
        <v>854</v>
      </c>
    </row>
    <row r="884" spans="1:9" ht="11.25" customHeight="1">
      <c r="A884" s="1852" t="s">
        <v>2247</v>
      </c>
      <c s="1852" t="s">
        <v>16</v>
      </c>
      <c s="1852" t="s">
        <v>3428</v>
      </c>
      <c s="1852" t="s">
        <v>3429</v>
      </c>
      <c s="1852" t="s">
        <v>3430</v>
      </c>
      <c s="1852" t="s">
        <v>51</v>
      </c>
      <c s="1852" t="s">
        <v>3431</v>
      </c>
      <c s="1852" t="s">
        <v>22</v>
      </c>
      <c s="1852" t="s">
        <v>854</v>
      </c>
    </row>
    <row r="885" spans="1:9" ht="11.25" customHeight="1">
      <c r="A885" s="1852" t="s">
        <v>2247</v>
      </c>
      <c s="1852" t="s">
        <v>16</v>
      </c>
      <c s="1852" t="s">
        <v>4633</v>
      </c>
      <c s="1852" t="s">
        <v>4634</v>
      </c>
      <c s="1852" t="s">
        <v>4635</v>
      </c>
      <c s="1852" t="s">
        <v>51</v>
      </c>
      <c s="1852" t="s">
        <v>4636</v>
      </c>
      <c s="1852" t="s">
        <v>22</v>
      </c>
      <c s="1852" t="s">
        <v>854</v>
      </c>
    </row>
    <row r="886" spans="1:9" ht="11.25" customHeight="1">
      <c r="A886" s="1852" t="s">
        <v>2247</v>
      </c>
      <c s="1852" t="s">
        <v>16</v>
      </c>
      <c s="1852" t="s">
        <v>3432</v>
      </c>
      <c s="1852" t="s">
        <v>3433</v>
      </c>
      <c s="1852" t="s">
        <v>3434</v>
      </c>
      <c s="1852" t="s">
        <v>2411</v>
      </c>
      <c s="1852" t="s">
        <v>2482</v>
      </c>
      <c s="1852" t="s">
        <v>22</v>
      </c>
      <c s="1852" t="s">
        <v>854</v>
      </c>
    </row>
    <row r="887" spans="1:9" ht="11.25" customHeight="1">
      <c r="A887" s="1852" t="s">
        <v>2247</v>
      </c>
      <c s="1852" t="s">
        <v>16</v>
      </c>
      <c s="1852" t="s">
        <v>3435</v>
      </c>
      <c s="1852" t="s">
        <v>3436</v>
      </c>
      <c s="1852" t="s">
        <v>3437</v>
      </c>
      <c s="1852" t="s">
        <v>51</v>
      </c>
      <c s="1852" t="s">
        <v>22</v>
      </c>
      <c s="1852" t="s">
        <v>22</v>
      </c>
      <c s="1852" t="s">
        <v>854</v>
      </c>
    </row>
    <row r="888" spans="1:9" ht="11.25" customHeight="1">
      <c r="A888" s="1852" t="s">
        <v>2247</v>
      </c>
      <c s="1852" t="s">
        <v>16</v>
      </c>
      <c s="1852" t="s">
        <v>4637</v>
      </c>
      <c s="1852" t="s">
        <v>4638</v>
      </c>
      <c s="1852" t="s">
        <v>4616</v>
      </c>
      <c s="1852" t="s">
        <v>51</v>
      </c>
      <c s="1852" t="s">
        <v>4639</v>
      </c>
      <c s="1852" t="s">
        <v>22</v>
      </c>
      <c s="1852" t="s">
        <v>854</v>
      </c>
    </row>
    <row r="889" spans="1:9" ht="11.25" customHeight="1">
      <c r="A889" s="1852" t="s">
        <v>2247</v>
      </c>
      <c s="1852" t="s">
        <v>16</v>
      </c>
      <c s="1852" t="s">
        <v>3448</v>
      </c>
      <c s="1852" t="s">
        <v>3449</v>
      </c>
      <c s="1852" t="s">
        <v>3450</v>
      </c>
      <c s="1852" t="s">
        <v>3451</v>
      </c>
      <c s="1852" t="s">
        <v>22</v>
      </c>
      <c s="1852" t="s">
        <v>22</v>
      </c>
      <c s="1852" t="s">
        <v>854</v>
      </c>
    </row>
    <row r="890" spans="1:9" ht="11.25" customHeight="1">
      <c r="A890" s="1852" t="s">
        <v>2247</v>
      </c>
      <c s="1852" t="s">
        <v>16</v>
      </c>
      <c s="1852" t="s">
        <v>4640</v>
      </c>
      <c s="1852" t="s">
        <v>4641</v>
      </c>
      <c s="1852" t="s">
        <v>4642</v>
      </c>
      <c s="1852" t="s">
        <v>2262</v>
      </c>
      <c s="1852" t="s">
        <v>22</v>
      </c>
      <c s="1852" t="s">
        <v>22</v>
      </c>
      <c s="1852" t="s">
        <v>854</v>
      </c>
    </row>
    <row r="891" spans="1:9" ht="11.25" customHeight="1">
      <c r="A891" s="1852" t="s">
        <v>2247</v>
      </c>
      <c s="1852" t="s">
        <v>16</v>
      </c>
      <c s="1852" t="s">
        <v>4643</v>
      </c>
      <c s="1852" t="s">
        <v>4644</v>
      </c>
      <c s="1852" t="s">
        <v>4645</v>
      </c>
      <c s="1852" t="s">
        <v>3148</v>
      </c>
      <c s="1852" t="s">
        <v>4646</v>
      </c>
      <c s="1852" t="s">
        <v>22</v>
      </c>
      <c s="1852" t="s">
        <v>854</v>
      </c>
    </row>
    <row r="892" spans="1:9" ht="11.25" customHeight="1">
      <c r="A892" s="1852" t="s">
        <v>2247</v>
      </c>
      <c s="1852" t="s">
        <v>16</v>
      </c>
      <c s="1852" t="s">
        <v>3467</v>
      </c>
      <c s="1852" t="s">
        <v>3468</v>
      </c>
      <c s="1852" t="s">
        <v>3469</v>
      </c>
      <c s="1852" t="s">
        <v>51</v>
      </c>
      <c s="1852" t="s">
        <v>3470</v>
      </c>
      <c s="1852" t="s">
        <v>22</v>
      </c>
      <c s="1852" t="s">
        <v>854</v>
      </c>
    </row>
    <row r="893" spans="1:9" ht="11.25" customHeight="1">
      <c r="A893" s="1852" t="s">
        <v>2247</v>
      </c>
      <c s="1852" t="s">
        <v>16</v>
      </c>
      <c s="1852" t="s">
        <v>4647</v>
      </c>
      <c s="1852" t="s">
        <v>4648</v>
      </c>
      <c s="1852" t="s">
        <v>4649</v>
      </c>
      <c s="1852" t="s">
        <v>3148</v>
      </c>
      <c s="1852" t="s">
        <v>4650</v>
      </c>
      <c s="1852" t="s">
        <v>22</v>
      </c>
      <c s="1852" t="s">
        <v>854</v>
      </c>
    </row>
    <row r="894" spans="1:9" ht="11.25" customHeight="1">
      <c r="A894" s="1852" t="s">
        <v>2247</v>
      </c>
      <c s="1852" t="s">
        <v>16</v>
      </c>
      <c s="1852" t="s">
        <v>4651</v>
      </c>
      <c s="1852" t="s">
        <v>4652</v>
      </c>
      <c s="1852" t="s">
        <v>4653</v>
      </c>
      <c s="1852" t="s">
        <v>2366</v>
      </c>
      <c s="1852" t="s">
        <v>22</v>
      </c>
      <c s="1852" t="s">
        <v>22</v>
      </c>
      <c s="1852" t="s">
        <v>854</v>
      </c>
    </row>
    <row r="895" spans="1:9" ht="11.25" customHeight="1">
      <c r="A895" s="1852" t="s">
        <v>2247</v>
      </c>
      <c s="1852" t="s">
        <v>16</v>
      </c>
      <c s="1852" t="s">
        <v>3478</v>
      </c>
      <c s="1852" t="s">
        <v>3479</v>
      </c>
      <c s="1852" t="s">
        <v>3480</v>
      </c>
      <c s="1852" t="s">
        <v>2366</v>
      </c>
      <c s="1852" t="s">
        <v>22</v>
      </c>
      <c s="1852" t="s">
        <v>22</v>
      </c>
      <c s="1852" t="s">
        <v>854</v>
      </c>
    </row>
    <row r="896" spans="1:9" ht="11.25" customHeight="1">
      <c r="A896" s="1852" t="s">
        <v>2247</v>
      </c>
      <c s="1852" t="s">
        <v>16</v>
      </c>
      <c s="1852" t="s">
        <v>3487</v>
      </c>
      <c s="1852" t="s">
        <v>3488</v>
      </c>
      <c s="1852" t="s">
        <v>3489</v>
      </c>
      <c s="1852" t="s">
        <v>2411</v>
      </c>
      <c s="1852" t="s">
        <v>3490</v>
      </c>
      <c s="1852" t="s">
        <v>22</v>
      </c>
      <c s="1852" t="s">
        <v>854</v>
      </c>
    </row>
    <row r="897" spans="1:9" ht="11.25" customHeight="1">
      <c r="A897" s="1852" t="s">
        <v>2247</v>
      </c>
      <c s="1852" t="s">
        <v>16</v>
      </c>
      <c s="1852" t="s">
        <v>4654</v>
      </c>
      <c s="1852" t="s">
        <v>4655</v>
      </c>
      <c s="1852" t="s">
        <v>4624</v>
      </c>
      <c s="1852" t="s">
        <v>4656</v>
      </c>
      <c s="1852" t="s">
        <v>22</v>
      </c>
      <c s="1852" t="s">
        <v>22</v>
      </c>
      <c s="1852" t="s">
        <v>854</v>
      </c>
    </row>
    <row r="898" spans="1:9" ht="11.25" customHeight="1">
      <c r="A898" s="1852" t="s">
        <v>2247</v>
      </c>
      <c s="1852" t="s">
        <v>16</v>
      </c>
      <c s="1852" t="s">
        <v>4657</v>
      </c>
      <c s="1852" t="s">
        <v>4658</v>
      </c>
      <c s="1852" t="s">
        <v>4624</v>
      </c>
      <c s="1852" t="s">
        <v>4659</v>
      </c>
      <c s="1852" t="s">
        <v>22</v>
      </c>
      <c s="1852" t="s">
        <v>22</v>
      </c>
      <c s="1852" t="s">
        <v>854</v>
      </c>
    </row>
    <row r="899" spans="1:9" ht="11.25" customHeight="1">
      <c r="A899" s="1852" t="s">
        <v>2247</v>
      </c>
      <c s="1852" t="s">
        <v>16</v>
      </c>
      <c s="1852" t="s">
        <v>3529</v>
      </c>
      <c s="1852" t="s">
        <v>3530</v>
      </c>
      <c s="1852" t="s">
        <v>2425</v>
      </c>
      <c s="1852" t="s">
        <v>2262</v>
      </c>
      <c s="1852" t="s">
        <v>22</v>
      </c>
      <c s="1852" t="s">
        <v>22</v>
      </c>
      <c s="1852" t="s">
        <v>854</v>
      </c>
    </row>
    <row r="900" spans="1:9" ht="11.25" customHeight="1">
      <c r="A900" s="1852" t="s">
        <v>2247</v>
      </c>
      <c s="1852" t="s">
        <v>16</v>
      </c>
      <c s="1852" t="s">
        <v>3531</v>
      </c>
      <c s="1852" t="s">
        <v>3532</v>
      </c>
      <c s="1852" t="s">
        <v>2425</v>
      </c>
      <c s="1852" t="s">
        <v>3533</v>
      </c>
      <c s="1852" t="s">
        <v>22</v>
      </c>
      <c s="1852" t="s">
        <v>22</v>
      </c>
      <c s="1852" t="s">
        <v>854</v>
      </c>
    </row>
    <row r="901" spans="1:9" ht="11.25" customHeight="1">
      <c r="A901" s="1852" t="s">
        <v>2247</v>
      </c>
      <c s="1852" t="s">
        <v>16</v>
      </c>
      <c s="1852" t="s">
        <v>3549</v>
      </c>
      <c s="1852" t="s">
        <v>3550</v>
      </c>
      <c s="1852" t="s">
        <v>3551</v>
      </c>
      <c s="1852" t="s">
        <v>3552</v>
      </c>
      <c s="1852" t="s">
        <v>22</v>
      </c>
      <c s="1852" t="s">
        <v>22</v>
      </c>
      <c s="1852" t="s">
        <v>854</v>
      </c>
    </row>
    <row r="902" spans="1:9" ht="11.25" customHeight="1">
      <c r="A902" s="1852" t="s">
        <v>2247</v>
      </c>
      <c s="1852" t="s">
        <v>16</v>
      </c>
      <c s="1852" t="s">
        <v>4660</v>
      </c>
      <c s="1852" t="s">
        <v>4661</v>
      </c>
      <c s="1852" t="s">
        <v>4662</v>
      </c>
      <c s="1852" t="s">
        <v>4663</v>
      </c>
      <c s="1852" t="s">
        <v>4664</v>
      </c>
      <c s="1852" t="s">
        <v>22</v>
      </c>
      <c s="1852" t="s">
        <v>854</v>
      </c>
    </row>
    <row r="903" spans="1:9" ht="11.25" customHeight="1">
      <c r="A903" s="1852" t="s">
        <v>2247</v>
      </c>
      <c s="1852" t="s">
        <v>16</v>
      </c>
      <c s="1852" t="s">
        <v>3588</v>
      </c>
      <c s="1852" t="s">
        <v>3589</v>
      </c>
      <c s="1852" t="s">
        <v>3590</v>
      </c>
      <c s="1852" t="s">
        <v>3591</v>
      </c>
      <c s="1852" t="s">
        <v>22</v>
      </c>
      <c s="1852" t="s">
        <v>22</v>
      </c>
      <c s="1852" t="s">
        <v>907</v>
      </c>
    </row>
    <row r="904" spans="1:9" ht="11.25" customHeight="1">
      <c r="A904" s="1852" t="s">
        <v>2247</v>
      </c>
      <c s="1852" t="s">
        <v>16</v>
      </c>
      <c s="1852" t="s">
        <v>3592</v>
      </c>
      <c s="1852" t="s">
        <v>3593</v>
      </c>
      <c s="1852" t="s">
        <v>3594</v>
      </c>
      <c s="1852" t="s">
        <v>2281</v>
      </c>
      <c s="1852" t="s">
        <v>3595</v>
      </c>
      <c s="1852" t="s">
        <v>22</v>
      </c>
      <c s="1852" t="s">
        <v>907</v>
      </c>
    </row>
    <row r="905" spans="1:9" ht="11.25" customHeight="1">
      <c r="A905" s="1852" t="s">
        <v>2247</v>
      </c>
      <c s="1852" t="s">
        <v>16</v>
      </c>
      <c s="1852" t="s">
        <v>22</v>
      </c>
      <c s="1852" t="s">
        <v>2248</v>
      </c>
      <c s="1852" t="s">
        <v>2249</v>
      </c>
      <c s="1852" t="s">
        <v>2250</v>
      </c>
      <c s="1852" t="s">
        <v>22</v>
      </c>
      <c s="1852" t="s">
        <v>22</v>
      </c>
      <c s="1852" t="s">
        <v>907</v>
      </c>
    </row>
    <row r="906" spans="1:9" ht="11.25" customHeight="1">
      <c r="A906" s="1852" t="s">
        <v>2247</v>
      </c>
      <c s="1852" t="s">
        <v>16</v>
      </c>
      <c s="1852" t="s">
        <v>22</v>
      </c>
      <c s="1852" t="s">
        <v>2251</v>
      </c>
      <c s="1852" t="s">
        <v>2252</v>
      </c>
      <c s="1852" t="s">
        <v>2253</v>
      </c>
      <c s="1852" t="s">
        <v>22</v>
      </c>
      <c s="1852" t="s">
        <v>22</v>
      </c>
      <c s="1852" t="s">
        <v>907</v>
      </c>
    </row>
    <row r="907" spans="1:9" ht="11.25" customHeight="1">
      <c r="A907" s="1852" t="s">
        <v>2247</v>
      </c>
      <c s="1852" t="s">
        <v>16</v>
      </c>
      <c s="1852" t="s">
        <v>22</v>
      </c>
      <c s="1852" t="s">
        <v>2254</v>
      </c>
      <c s="1852" t="s">
        <v>2255</v>
      </c>
      <c s="1852" t="s">
        <v>2256</v>
      </c>
      <c s="1852" t="s">
        <v>22</v>
      </c>
      <c s="1852" t="s">
        <v>22</v>
      </c>
      <c s="1852" t="s">
        <v>907</v>
      </c>
    </row>
    <row r="908" spans="1:9" ht="11.25" customHeight="1">
      <c r="A908" s="1852" t="s">
        <v>2247</v>
      </c>
      <c s="1852" t="s">
        <v>16</v>
      </c>
      <c s="1852" t="s">
        <v>22</v>
      </c>
      <c s="1852" t="s">
        <v>2257</v>
      </c>
      <c s="1852" t="s">
        <v>2258</v>
      </c>
      <c s="1852" t="s">
        <v>2259</v>
      </c>
      <c s="1852" t="s">
        <v>22</v>
      </c>
      <c s="1852" t="s">
        <v>22</v>
      </c>
      <c s="1852" t="s">
        <v>907</v>
      </c>
    </row>
    <row r="909" spans="1:9" ht="11.25" customHeight="1">
      <c r="A909" s="1852" t="s">
        <v>2247</v>
      </c>
      <c s="1852" t="s">
        <v>16</v>
      </c>
      <c s="1852" t="s">
        <v>22</v>
      </c>
      <c s="1852" t="s">
        <v>2260</v>
      </c>
      <c s="1852" t="s">
        <v>2261</v>
      </c>
      <c s="1852" t="s">
        <v>2262</v>
      </c>
      <c s="1852" t="s">
        <v>22</v>
      </c>
      <c s="1852" t="s">
        <v>22</v>
      </c>
      <c s="1852" t="s">
        <v>907</v>
      </c>
    </row>
    <row r="910" spans="1:9" ht="11.25" customHeight="1">
      <c r="A910" s="1852" t="s">
        <v>2247</v>
      </c>
      <c s="1852" t="s">
        <v>16</v>
      </c>
      <c s="1852" t="s">
        <v>22</v>
      </c>
      <c s="1852" t="s">
        <v>2263</v>
      </c>
      <c s="1852" t="s">
        <v>2264</v>
      </c>
      <c s="1852" t="s">
        <v>2265</v>
      </c>
      <c s="1852" t="s">
        <v>22</v>
      </c>
      <c s="1852" t="s">
        <v>22</v>
      </c>
      <c s="1852" t="s">
        <v>907</v>
      </c>
    </row>
    <row r="911" spans="1:9" ht="11.25" customHeight="1">
      <c r="A911" s="1852" t="s">
        <v>2247</v>
      </c>
      <c s="1852" t="s">
        <v>16</v>
      </c>
      <c s="1852" t="s">
        <v>4665</v>
      </c>
      <c s="1852" t="s">
        <v>4666</v>
      </c>
      <c s="1852" t="s">
        <v>4667</v>
      </c>
      <c s="1852" t="s">
        <v>2826</v>
      </c>
      <c s="1852" t="s">
        <v>4668</v>
      </c>
      <c s="1852" t="s">
        <v>22</v>
      </c>
      <c s="1852" t="s">
        <v>907</v>
      </c>
    </row>
    <row r="912" spans="1:9" ht="11.25" customHeight="1">
      <c r="A912" s="1852" t="s">
        <v>2247</v>
      </c>
      <c s="1852" t="s">
        <v>16</v>
      </c>
      <c s="1852" t="s">
        <v>2269</v>
      </c>
      <c s="1852" t="s">
        <v>2270</v>
      </c>
      <c s="1852" t="s">
        <v>2271</v>
      </c>
      <c s="1852" t="s">
        <v>2272</v>
      </c>
      <c s="1852" t="s">
        <v>2273</v>
      </c>
      <c s="1852" t="s">
        <v>22</v>
      </c>
      <c s="1852" t="s">
        <v>907</v>
      </c>
    </row>
    <row r="913" spans="1:9" ht="11.25" customHeight="1">
      <c r="A913" s="1852" t="s">
        <v>2247</v>
      </c>
      <c s="1852" t="s">
        <v>16</v>
      </c>
      <c s="1852" t="s">
        <v>3600</v>
      </c>
      <c s="1852" t="s">
        <v>3601</v>
      </c>
      <c s="1852" t="s">
        <v>3602</v>
      </c>
      <c s="1852" t="s">
        <v>2291</v>
      </c>
      <c s="1852" t="s">
        <v>22</v>
      </c>
      <c s="1852" t="s">
        <v>22</v>
      </c>
      <c s="1852" t="s">
        <v>907</v>
      </c>
    </row>
    <row r="914" spans="1:9" ht="11.25" customHeight="1">
      <c r="A914" s="1852" t="s">
        <v>2247</v>
      </c>
      <c s="1852" t="s">
        <v>16</v>
      </c>
      <c s="1852" t="s">
        <v>3603</v>
      </c>
      <c s="1852" t="s">
        <v>3604</v>
      </c>
      <c s="1852" t="s">
        <v>3605</v>
      </c>
      <c s="1852" t="s">
        <v>3606</v>
      </c>
      <c s="1852" t="s">
        <v>3607</v>
      </c>
      <c s="1852" t="s">
        <v>22</v>
      </c>
      <c s="1852" t="s">
        <v>907</v>
      </c>
    </row>
    <row r="915" spans="1:9" ht="11.25" customHeight="1">
      <c r="A915" s="1852" t="s">
        <v>2247</v>
      </c>
      <c s="1852" t="s">
        <v>16</v>
      </c>
      <c s="1852" t="s">
        <v>2278</v>
      </c>
      <c s="1852" t="s">
        <v>2279</v>
      </c>
      <c s="1852" t="s">
        <v>2280</v>
      </c>
      <c s="1852" t="s">
        <v>2281</v>
      </c>
      <c s="1852" t="s">
        <v>2282</v>
      </c>
      <c s="1852" t="s">
        <v>22</v>
      </c>
      <c s="1852" t="s">
        <v>907</v>
      </c>
    </row>
    <row r="916" spans="1:9" ht="11.25" customHeight="1">
      <c r="A916" s="1852" t="s">
        <v>2247</v>
      </c>
      <c s="1852" t="s">
        <v>16</v>
      </c>
      <c s="1852" t="s">
        <v>4669</v>
      </c>
      <c s="1852" t="s">
        <v>4670</v>
      </c>
      <c s="1852" t="s">
        <v>4671</v>
      </c>
      <c s="1852" t="s">
        <v>3194</v>
      </c>
      <c s="1852" t="s">
        <v>22</v>
      </c>
      <c s="1852" t="s">
        <v>22</v>
      </c>
      <c s="1852" t="s">
        <v>907</v>
      </c>
    </row>
    <row r="917" spans="1:9" ht="11.25" customHeight="1">
      <c r="A917" s="1852" t="s">
        <v>2247</v>
      </c>
      <c s="1852" t="s">
        <v>16</v>
      </c>
      <c s="1852" t="s">
        <v>3608</v>
      </c>
      <c s="1852" t="s">
        <v>3609</v>
      </c>
      <c s="1852" t="s">
        <v>3610</v>
      </c>
      <c s="1852" t="s">
        <v>3176</v>
      </c>
      <c s="1852" t="s">
        <v>3611</v>
      </c>
      <c s="1852" t="s">
        <v>22</v>
      </c>
      <c s="1852" t="s">
        <v>907</v>
      </c>
    </row>
    <row r="918" spans="1:9" ht="11.25" customHeight="1">
      <c r="A918" s="1852" t="s">
        <v>2247</v>
      </c>
      <c s="1852" t="s">
        <v>16</v>
      </c>
      <c s="1852" t="s">
        <v>3612</v>
      </c>
      <c s="1852" t="s">
        <v>3613</v>
      </c>
      <c s="1852" t="s">
        <v>3614</v>
      </c>
      <c s="1852" t="s">
        <v>2366</v>
      </c>
      <c s="1852" t="s">
        <v>22</v>
      </c>
      <c s="1852" t="s">
        <v>22</v>
      </c>
      <c s="1852" t="s">
        <v>907</v>
      </c>
    </row>
    <row r="919" spans="1:9" ht="11.25" customHeight="1">
      <c r="A919" s="1852" t="s">
        <v>2247</v>
      </c>
      <c s="1852" t="s">
        <v>16</v>
      </c>
      <c s="1852" t="s">
        <v>4672</v>
      </c>
      <c s="1852" t="s">
        <v>4673</v>
      </c>
      <c s="1852" t="s">
        <v>4674</v>
      </c>
      <c s="1852" t="s">
        <v>2567</v>
      </c>
      <c s="1852" t="s">
        <v>4675</v>
      </c>
      <c s="1852" t="s">
        <v>22</v>
      </c>
      <c s="1852" t="s">
        <v>907</v>
      </c>
    </row>
    <row r="920" spans="1:9" ht="11.25" customHeight="1">
      <c r="A920" s="1852" t="s">
        <v>2247</v>
      </c>
      <c s="1852" t="s">
        <v>16</v>
      </c>
      <c s="1852" t="s">
        <v>2308</v>
      </c>
      <c s="1852" t="s">
        <v>2309</v>
      </c>
      <c s="1852" t="s">
        <v>2310</v>
      </c>
      <c s="1852" t="s">
        <v>2256</v>
      </c>
      <c s="1852" t="s">
        <v>22</v>
      </c>
      <c s="1852" t="s">
        <v>22</v>
      </c>
      <c s="1852" t="s">
        <v>907</v>
      </c>
    </row>
    <row r="921" spans="1:9" ht="11.25" customHeight="1">
      <c r="A921" s="1852" t="s">
        <v>2247</v>
      </c>
      <c s="1852" t="s">
        <v>16</v>
      </c>
      <c s="1852" t="s">
        <v>3619</v>
      </c>
      <c s="1852" t="s">
        <v>3620</v>
      </c>
      <c s="1852" t="s">
        <v>3621</v>
      </c>
      <c s="1852" t="s">
        <v>51</v>
      </c>
      <c s="1852" t="s">
        <v>3622</v>
      </c>
      <c s="1852" t="s">
        <v>22</v>
      </c>
      <c s="1852" t="s">
        <v>907</v>
      </c>
    </row>
    <row r="922" spans="1:9" ht="11.25" customHeight="1">
      <c r="A922" s="1852" t="s">
        <v>2247</v>
      </c>
      <c s="1852" t="s">
        <v>16</v>
      </c>
      <c s="1852" t="s">
        <v>2324</v>
      </c>
      <c s="1852" t="s">
        <v>2325</v>
      </c>
      <c s="1852" t="s">
        <v>2326</v>
      </c>
      <c s="1852" t="s">
        <v>2272</v>
      </c>
      <c s="1852" t="s">
        <v>2327</v>
      </c>
      <c s="1852" t="s">
        <v>22</v>
      </c>
      <c s="1852" t="s">
        <v>907</v>
      </c>
    </row>
    <row r="923" spans="1:9" ht="11.25" customHeight="1">
      <c r="A923" s="1852" t="s">
        <v>2247</v>
      </c>
      <c s="1852" t="s">
        <v>16</v>
      </c>
      <c s="1852" t="s">
        <v>4676</v>
      </c>
      <c s="1852" t="s">
        <v>4677</v>
      </c>
      <c s="1852" t="s">
        <v>4678</v>
      </c>
      <c s="1852" t="s">
        <v>2708</v>
      </c>
      <c s="1852" t="s">
        <v>4679</v>
      </c>
      <c s="1852" t="s">
        <v>22</v>
      </c>
      <c s="1852" t="s">
        <v>907</v>
      </c>
    </row>
    <row r="924" spans="1:9" ht="11.25" customHeight="1">
      <c r="A924" s="1852" t="s">
        <v>2247</v>
      </c>
      <c s="1852" t="s">
        <v>16</v>
      </c>
      <c s="1852" t="s">
        <v>2335</v>
      </c>
      <c s="1852" t="s">
        <v>2336</v>
      </c>
      <c s="1852" t="s">
        <v>2337</v>
      </c>
      <c s="1852" t="s">
        <v>2338</v>
      </c>
      <c s="1852" t="s">
        <v>2339</v>
      </c>
      <c s="1852" t="s">
        <v>22</v>
      </c>
      <c s="1852" t="s">
        <v>907</v>
      </c>
    </row>
    <row r="925" spans="1:9" ht="11.25" customHeight="1">
      <c r="A925" s="1852" t="s">
        <v>2247</v>
      </c>
      <c s="1852" t="s">
        <v>16</v>
      </c>
      <c s="1852" t="s">
        <v>4680</v>
      </c>
      <c s="1852" t="s">
        <v>4681</v>
      </c>
      <c s="1852" t="s">
        <v>4682</v>
      </c>
      <c s="1852" t="s">
        <v>2366</v>
      </c>
      <c s="1852" t="s">
        <v>22</v>
      </c>
      <c s="1852" t="s">
        <v>22</v>
      </c>
      <c s="1852" t="s">
        <v>907</v>
      </c>
    </row>
    <row r="926" spans="1:9" ht="11.25" customHeight="1">
      <c r="A926" s="1852" t="s">
        <v>2247</v>
      </c>
      <c s="1852" t="s">
        <v>16</v>
      </c>
      <c s="1852" t="s">
        <v>2354</v>
      </c>
      <c s="1852" t="s">
        <v>2355</v>
      </c>
      <c s="1852" t="s">
        <v>2356</v>
      </c>
      <c s="1852" t="s">
        <v>2357</v>
      </c>
      <c s="1852" t="s">
        <v>2358</v>
      </c>
      <c s="1852" t="s">
        <v>22</v>
      </c>
      <c s="1852" t="s">
        <v>907</v>
      </c>
    </row>
    <row r="927" spans="1:9" ht="11.25" customHeight="1">
      <c r="A927" s="1852" t="s">
        <v>2247</v>
      </c>
      <c s="1852" t="s">
        <v>16</v>
      </c>
      <c s="1852" t="s">
        <v>3633</v>
      </c>
      <c s="1852" t="s">
        <v>3634</v>
      </c>
      <c s="1852" t="s">
        <v>3635</v>
      </c>
      <c s="1852" t="s">
        <v>3636</v>
      </c>
      <c s="1852" t="s">
        <v>3637</v>
      </c>
      <c s="1852" t="s">
        <v>22</v>
      </c>
      <c s="1852" t="s">
        <v>907</v>
      </c>
    </row>
    <row r="928" spans="1:9" ht="11.25" customHeight="1">
      <c r="A928" s="1852" t="s">
        <v>2247</v>
      </c>
      <c s="1852" t="s">
        <v>16</v>
      </c>
      <c s="1852" t="s">
        <v>2382</v>
      </c>
      <c s="1852" t="s">
        <v>2383</v>
      </c>
      <c s="1852" t="s">
        <v>2384</v>
      </c>
      <c s="1852" t="s">
        <v>2366</v>
      </c>
      <c s="1852" t="s">
        <v>22</v>
      </c>
      <c s="1852" t="s">
        <v>22</v>
      </c>
      <c s="1852" t="s">
        <v>907</v>
      </c>
    </row>
    <row r="929" spans="1:9" ht="11.25" customHeight="1">
      <c r="A929" s="1852" t="s">
        <v>2247</v>
      </c>
      <c s="1852" t="s">
        <v>16</v>
      </c>
      <c s="1852" t="s">
        <v>3647</v>
      </c>
      <c s="1852" t="s">
        <v>3648</v>
      </c>
      <c s="1852" t="s">
        <v>3649</v>
      </c>
      <c s="1852" t="s">
        <v>3650</v>
      </c>
      <c s="1852" t="s">
        <v>22</v>
      </c>
      <c s="1852" t="s">
        <v>22</v>
      </c>
      <c s="1852" t="s">
        <v>907</v>
      </c>
    </row>
    <row r="930" spans="1:9" ht="11.25" customHeight="1">
      <c r="A930" s="1852" t="s">
        <v>2247</v>
      </c>
      <c s="1852" t="s">
        <v>16</v>
      </c>
      <c s="1852" t="s">
        <v>2423</v>
      </c>
      <c s="1852" t="s">
        <v>2424</v>
      </c>
      <c s="1852" t="s">
        <v>2425</v>
      </c>
      <c s="1852" t="s">
        <v>2314</v>
      </c>
      <c s="1852" t="s">
        <v>22</v>
      </c>
      <c s="1852" t="s">
        <v>22</v>
      </c>
      <c s="1852" t="s">
        <v>907</v>
      </c>
    </row>
    <row r="931" spans="1:9" ht="11.25" customHeight="1">
      <c r="A931" s="1852" t="s">
        <v>2247</v>
      </c>
      <c s="1852" t="s">
        <v>16</v>
      </c>
      <c s="1852" t="s">
        <v>3654</v>
      </c>
      <c s="1852" t="s">
        <v>3655</v>
      </c>
      <c s="1852" t="s">
        <v>3656</v>
      </c>
      <c s="1852" t="s">
        <v>2259</v>
      </c>
      <c s="1852" t="s">
        <v>3657</v>
      </c>
      <c s="1852" t="s">
        <v>22</v>
      </c>
      <c s="1852" t="s">
        <v>907</v>
      </c>
    </row>
    <row r="932" spans="1:9" ht="11.25" customHeight="1">
      <c r="A932" s="1852" t="s">
        <v>2247</v>
      </c>
      <c s="1852" t="s">
        <v>16</v>
      </c>
      <c s="1852" t="s">
        <v>2436</v>
      </c>
      <c s="1852" t="s">
        <v>2437</v>
      </c>
      <c s="1852" t="s">
        <v>2438</v>
      </c>
      <c s="1852" t="s">
        <v>2304</v>
      </c>
      <c s="1852" t="s">
        <v>22</v>
      </c>
      <c s="1852" t="s">
        <v>22</v>
      </c>
      <c s="1852" t="s">
        <v>907</v>
      </c>
    </row>
    <row r="933" spans="1:9" ht="11.25" customHeight="1">
      <c r="A933" s="1852" t="s">
        <v>2247</v>
      </c>
      <c s="1852" t="s">
        <v>16</v>
      </c>
      <c s="1852" t="s">
        <v>2439</v>
      </c>
      <c s="1852" t="s">
        <v>2440</v>
      </c>
      <c s="1852" t="s">
        <v>2441</v>
      </c>
      <c s="1852" t="s">
        <v>2281</v>
      </c>
      <c s="1852" t="s">
        <v>2442</v>
      </c>
      <c s="1852" t="s">
        <v>22</v>
      </c>
      <c s="1852" t="s">
        <v>907</v>
      </c>
    </row>
    <row r="934" spans="1:9" ht="11.25" customHeight="1">
      <c r="A934" s="1852" t="s">
        <v>2247</v>
      </c>
      <c s="1852" t="s">
        <v>16</v>
      </c>
      <c s="1852" t="s">
        <v>3661</v>
      </c>
      <c s="1852" t="s">
        <v>3662</v>
      </c>
      <c s="1852" t="s">
        <v>3663</v>
      </c>
      <c s="1852" t="s">
        <v>3664</v>
      </c>
      <c s="1852" t="s">
        <v>3665</v>
      </c>
      <c s="1852" t="s">
        <v>22</v>
      </c>
      <c s="1852" t="s">
        <v>907</v>
      </c>
    </row>
    <row r="935" spans="1:9" ht="11.25" customHeight="1">
      <c r="A935" s="1852" t="s">
        <v>2247</v>
      </c>
      <c s="1852" t="s">
        <v>16</v>
      </c>
      <c s="1852" t="s">
        <v>3666</v>
      </c>
      <c s="1852" t="s">
        <v>3667</v>
      </c>
      <c s="1852" t="s">
        <v>3668</v>
      </c>
      <c s="1852" t="s">
        <v>2691</v>
      </c>
      <c s="1852" t="s">
        <v>3669</v>
      </c>
      <c s="1852" t="s">
        <v>22</v>
      </c>
      <c s="1852" t="s">
        <v>907</v>
      </c>
    </row>
    <row r="936" spans="1:9" ht="11.25" customHeight="1">
      <c r="A936" s="1852" t="s">
        <v>2247</v>
      </c>
      <c s="1852" t="s">
        <v>16</v>
      </c>
      <c s="1852" t="s">
        <v>2455</v>
      </c>
      <c s="1852" t="s">
        <v>2456</v>
      </c>
      <c s="1852" t="s">
        <v>2457</v>
      </c>
      <c s="1852" t="s">
        <v>2458</v>
      </c>
      <c s="1852" t="s">
        <v>2459</v>
      </c>
      <c s="1852" t="s">
        <v>22</v>
      </c>
      <c s="1852" t="s">
        <v>907</v>
      </c>
    </row>
    <row r="937" spans="1:9" ht="11.25" customHeight="1">
      <c r="A937" s="1852" t="s">
        <v>2247</v>
      </c>
      <c s="1852" t="s">
        <v>16</v>
      </c>
      <c s="1852" t="s">
        <v>4683</v>
      </c>
      <c s="1852" t="s">
        <v>4684</v>
      </c>
      <c s="1852" t="s">
        <v>4685</v>
      </c>
      <c s="1852" t="s">
        <v>2600</v>
      </c>
      <c s="1852" t="s">
        <v>22</v>
      </c>
      <c s="1852" t="s">
        <v>22</v>
      </c>
      <c s="1852" t="s">
        <v>907</v>
      </c>
    </row>
    <row r="938" spans="1:9" ht="11.25" customHeight="1">
      <c r="A938" s="1852" t="s">
        <v>2247</v>
      </c>
      <c s="1852" t="s">
        <v>16</v>
      </c>
      <c s="1852" t="s">
        <v>3674</v>
      </c>
      <c s="1852" t="s">
        <v>3675</v>
      </c>
      <c s="1852" t="s">
        <v>3676</v>
      </c>
      <c s="1852" t="s">
        <v>51</v>
      </c>
      <c s="1852" t="s">
        <v>3677</v>
      </c>
      <c s="1852" t="s">
        <v>22</v>
      </c>
      <c s="1852" t="s">
        <v>907</v>
      </c>
    </row>
    <row r="939" spans="1:9" ht="11.25" customHeight="1">
      <c r="A939" s="1852" t="s">
        <v>2247</v>
      </c>
      <c s="1852" t="s">
        <v>16</v>
      </c>
      <c s="1852" t="s">
        <v>2479</v>
      </c>
      <c s="1852" t="s">
        <v>2480</v>
      </c>
      <c s="1852" t="s">
        <v>2481</v>
      </c>
      <c s="1852" t="s">
        <v>2477</v>
      </c>
      <c s="1852" t="s">
        <v>2482</v>
      </c>
      <c s="1852" t="s">
        <v>22</v>
      </c>
      <c s="1852" t="s">
        <v>907</v>
      </c>
    </row>
    <row r="940" spans="1:9" ht="11.25" customHeight="1">
      <c r="A940" s="1852" t="s">
        <v>2247</v>
      </c>
      <c s="1852" t="s">
        <v>16</v>
      </c>
      <c s="1852" t="s">
        <v>13</v>
      </c>
      <c s="1852" t="s">
        <v>46</v>
      </c>
      <c s="1852" t="s">
        <v>49</v>
      </c>
      <c s="1852" t="s">
        <v>51</v>
      </c>
      <c s="1852" t="s">
        <v>3678</v>
      </c>
      <c s="1852" t="s">
        <v>22</v>
      </c>
      <c s="1852" t="s">
        <v>907</v>
      </c>
    </row>
    <row r="941" spans="1:9" ht="11.25" customHeight="1">
      <c r="A941" s="1852" t="s">
        <v>2247</v>
      </c>
      <c s="1852" t="s">
        <v>16</v>
      </c>
      <c s="1852" t="s">
        <v>3679</v>
      </c>
      <c s="1852" t="s">
        <v>3680</v>
      </c>
      <c s="1852" t="s">
        <v>3681</v>
      </c>
      <c s="1852" t="s">
        <v>2250</v>
      </c>
      <c s="1852" t="s">
        <v>22</v>
      </c>
      <c s="1852" t="s">
        <v>22</v>
      </c>
      <c s="1852" t="s">
        <v>907</v>
      </c>
    </row>
    <row r="942" spans="1:9" ht="11.25" customHeight="1">
      <c r="A942" s="1852" t="s">
        <v>2247</v>
      </c>
      <c s="1852" t="s">
        <v>16</v>
      </c>
      <c s="1852" t="s">
        <v>22</v>
      </c>
      <c s="1852" t="s">
        <v>2493</v>
      </c>
      <c s="1852" t="s">
        <v>2494</v>
      </c>
      <c s="1852" t="s">
        <v>2277</v>
      </c>
      <c s="1852" t="s">
        <v>22</v>
      </c>
      <c s="1852" t="s">
        <v>22</v>
      </c>
      <c s="1852" t="s">
        <v>907</v>
      </c>
    </row>
    <row r="943" spans="1:9" ht="11.25" customHeight="1">
      <c r="A943" s="1852" t="s">
        <v>2247</v>
      </c>
      <c s="1852" t="s">
        <v>16</v>
      </c>
      <c s="1852" t="s">
        <v>4686</v>
      </c>
      <c s="1852" t="s">
        <v>4687</v>
      </c>
      <c s="1852" t="s">
        <v>4688</v>
      </c>
      <c s="1852" t="s">
        <v>2259</v>
      </c>
      <c s="1852" t="s">
        <v>4689</v>
      </c>
      <c s="1852" t="s">
        <v>22</v>
      </c>
      <c s="1852" t="s">
        <v>907</v>
      </c>
    </row>
    <row r="944" spans="1:9" ht="11.25" customHeight="1">
      <c r="A944" s="1852" t="s">
        <v>2247</v>
      </c>
      <c s="1852" t="s">
        <v>16</v>
      </c>
      <c s="1852" t="s">
        <v>3692</v>
      </c>
      <c s="1852" t="s">
        <v>3693</v>
      </c>
      <c s="1852" t="s">
        <v>3694</v>
      </c>
      <c s="1852" t="s">
        <v>2259</v>
      </c>
      <c s="1852" t="s">
        <v>3695</v>
      </c>
      <c s="1852" t="s">
        <v>22</v>
      </c>
      <c s="1852" t="s">
        <v>907</v>
      </c>
    </row>
    <row r="945" spans="1:9" ht="11.25" customHeight="1">
      <c r="A945" s="1852" t="s">
        <v>2247</v>
      </c>
      <c s="1852" t="s">
        <v>16</v>
      </c>
      <c s="1852" t="s">
        <v>3699</v>
      </c>
      <c s="1852" t="s">
        <v>3700</v>
      </c>
      <c s="1852" t="s">
        <v>3701</v>
      </c>
      <c s="1852" t="s">
        <v>2262</v>
      </c>
      <c s="1852" t="s">
        <v>22</v>
      </c>
      <c s="1852" t="s">
        <v>22</v>
      </c>
      <c s="1852" t="s">
        <v>907</v>
      </c>
    </row>
    <row r="946" spans="1:9" ht="11.25" customHeight="1">
      <c r="A946" s="1852" t="s">
        <v>2247</v>
      </c>
      <c s="1852" t="s">
        <v>16</v>
      </c>
      <c s="1852" t="s">
        <v>3702</v>
      </c>
      <c s="1852" t="s">
        <v>3703</v>
      </c>
      <c s="1852" t="s">
        <v>3704</v>
      </c>
      <c s="1852" t="s">
        <v>3606</v>
      </c>
      <c s="1852" t="s">
        <v>3705</v>
      </c>
      <c s="1852" t="s">
        <v>22</v>
      </c>
      <c s="1852" t="s">
        <v>907</v>
      </c>
    </row>
    <row r="947" spans="1:9" ht="11.25" customHeight="1">
      <c r="A947" s="1852" t="s">
        <v>2247</v>
      </c>
      <c s="1852" t="s">
        <v>16</v>
      </c>
      <c s="1852" t="s">
        <v>2516</v>
      </c>
      <c s="1852" t="s">
        <v>2517</v>
      </c>
      <c s="1852" t="s">
        <v>2518</v>
      </c>
      <c s="1852" t="s">
        <v>2519</v>
      </c>
      <c s="1852" t="s">
        <v>2520</v>
      </c>
      <c s="1852" t="s">
        <v>22</v>
      </c>
      <c s="1852" t="s">
        <v>907</v>
      </c>
    </row>
    <row r="948" spans="1:9" ht="11.25" customHeight="1">
      <c r="A948" s="1852" t="s">
        <v>2247</v>
      </c>
      <c s="1852" t="s">
        <v>16</v>
      </c>
      <c s="1852" t="s">
        <v>3712</v>
      </c>
      <c s="1852" t="s">
        <v>3713</v>
      </c>
      <c s="1852" t="s">
        <v>3714</v>
      </c>
      <c s="1852" t="s">
        <v>2343</v>
      </c>
      <c s="1852" t="s">
        <v>3715</v>
      </c>
      <c s="1852" t="s">
        <v>22</v>
      </c>
      <c s="1852" t="s">
        <v>907</v>
      </c>
    </row>
    <row r="949" spans="1:9" ht="11.25" customHeight="1">
      <c r="A949" s="1852" t="s">
        <v>2247</v>
      </c>
      <c s="1852" t="s">
        <v>16</v>
      </c>
      <c s="1852" t="s">
        <v>4690</v>
      </c>
      <c s="1852" t="s">
        <v>4691</v>
      </c>
      <c s="1852" t="s">
        <v>4692</v>
      </c>
      <c s="1852" t="s">
        <v>575</v>
      </c>
      <c s="1852" t="s">
        <v>4693</v>
      </c>
      <c s="1852" t="s">
        <v>22</v>
      </c>
      <c s="1852" t="s">
        <v>907</v>
      </c>
    </row>
    <row r="950" spans="1:9" ht="11.25" customHeight="1">
      <c r="A950" s="1852" t="s">
        <v>2247</v>
      </c>
      <c s="1852" t="s">
        <v>16</v>
      </c>
      <c s="1852" t="s">
        <v>4694</v>
      </c>
      <c s="1852" t="s">
        <v>4695</v>
      </c>
      <c s="1852" t="s">
        <v>4696</v>
      </c>
      <c s="1852" t="s">
        <v>575</v>
      </c>
      <c s="1852" t="s">
        <v>4697</v>
      </c>
      <c s="1852" t="s">
        <v>22</v>
      </c>
      <c s="1852" t="s">
        <v>907</v>
      </c>
    </row>
    <row r="951" spans="1:9" ht="11.25" customHeight="1">
      <c r="A951" s="1852" t="s">
        <v>2247</v>
      </c>
      <c s="1852" t="s">
        <v>16</v>
      </c>
      <c s="1852" t="s">
        <v>4698</v>
      </c>
      <c s="1852" t="s">
        <v>4699</v>
      </c>
      <c s="1852" t="s">
        <v>4700</v>
      </c>
      <c s="1852" t="s">
        <v>575</v>
      </c>
      <c s="1852" t="s">
        <v>22</v>
      </c>
      <c s="1852" t="s">
        <v>22</v>
      </c>
      <c s="1852" t="s">
        <v>907</v>
      </c>
    </row>
    <row r="952" spans="1:9" ht="11.25" customHeight="1">
      <c r="A952" s="1852" t="s">
        <v>2247</v>
      </c>
      <c s="1852" t="s">
        <v>16</v>
      </c>
      <c s="1852" t="s">
        <v>3739</v>
      </c>
      <c s="1852" t="s">
        <v>3740</v>
      </c>
      <c s="1852" t="s">
        <v>3741</v>
      </c>
      <c s="1852" t="s">
        <v>2281</v>
      </c>
      <c s="1852" t="s">
        <v>3742</v>
      </c>
      <c s="1852" t="s">
        <v>22</v>
      </c>
      <c s="1852" t="s">
        <v>907</v>
      </c>
    </row>
    <row r="953" spans="1:9" ht="11.25" customHeight="1">
      <c r="A953" s="1852" t="s">
        <v>2247</v>
      </c>
      <c s="1852" t="s">
        <v>16</v>
      </c>
      <c s="1852" t="s">
        <v>3743</v>
      </c>
      <c s="1852" t="s">
        <v>3744</v>
      </c>
      <c s="1852" t="s">
        <v>3745</v>
      </c>
      <c s="1852" t="s">
        <v>3746</v>
      </c>
      <c s="1852" t="s">
        <v>22</v>
      </c>
      <c s="1852" t="s">
        <v>22</v>
      </c>
      <c s="1852" t="s">
        <v>907</v>
      </c>
    </row>
    <row r="954" spans="1:9" ht="11.25" customHeight="1">
      <c r="A954" s="1852" t="s">
        <v>2247</v>
      </c>
      <c s="1852" t="s">
        <v>16</v>
      </c>
      <c s="1852" t="s">
        <v>3747</v>
      </c>
      <c s="1852" t="s">
        <v>3748</v>
      </c>
      <c s="1852" t="s">
        <v>3749</v>
      </c>
      <c s="1852" t="s">
        <v>2281</v>
      </c>
      <c s="1852" t="s">
        <v>3595</v>
      </c>
      <c s="1852" t="s">
        <v>22</v>
      </c>
      <c s="1852" t="s">
        <v>907</v>
      </c>
    </row>
    <row r="955" spans="1:9" ht="11.25" customHeight="1">
      <c r="A955" s="1852" t="s">
        <v>2247</v>
      </c>
      <c s="1852" t="s">
        <v>16</v>
      </c>
      <c s="1852" t="s">
        <v>3750</v>
      </c>
      <c s="1852" t="s">
        <v>3751</v>
      </c>
      <c s="1852" t="s">
        <v>3752</v>
      </c>
      <c s="1852" t="s">
        <v>2723</v>
      </c>
      <c s="1852" t="s">
        <v>22</v>
      </c>
      <c s="1852" t="s">
        <v>22</v>
      </c>
      <c s="1852" t="s">
        <v>907</v>
      </c>
    </row>
    <row r="956" spans="1:9" ht="11.25" customHeight="1">
      <c r="A956" s="1852" t="s">
        <v>2247</v>
      </c>
      <c s="1852" t="s">
        <v>16</v>
      </c>
      <c s="1852" t="s">
        <v>3761</v>
      </c>
      <c s="1852" t="s">
        <v>3758</v>
      </c>
      <c s="1852" t="s">
        <v>3762</v>
      </c>
      <c s="1852" t="s">
        <v>2988</v>
      </c>
      <c s="1852" t="s">
        <v>3763</v>
      </c>
      <c s="1852" t="s">
        <v>22</v>
      </c>
      <c s="1852" t="s">
        <v>907</v>
      </c>
    </row>
    <row r="957" spans="1:9" ht="11.25" customHeight="1">
      <c r="A957" s="1852" t="s">
        <v>2247</v>
      </c>
      <c s="1852" t="s">
        <v>16</v>
      </c>
      <c s="1852" t="s">
        <v>3764</v>
      </c>
      <c s="1852" t="s">
        <v>3765</v>
      </c>
      <c s="1852" t="s">
        <v>3766</v>
      </c>
      <c s="1852" t="s">
        <v>2988</v>
      </c>
      <c s="1852" t="s">
        <v>3767</v>
      </c>
      <c s="1852" t="s">
        <v>22</v>
      </c>
      <c s="1852" t="s">
        <v>907</v>
      </c>
    </row>
    <row r="958" spans="1:9" ht="11.25" customHeight="1">
      <c r="A958" s="1852" t="s">
        <v>2247</v>
      </c>
      <c s="1852" t="s">
        <v>16</v>
      </c>
      <c s="1852" t="s">
        <v>4701</v>
      </c>
      <c s="1852" t="s">
        <v>4702</v>
      </c>
      <c s="1852" t="s">
        <v>4703</v>
      </c>
      <c s="1852" t="s">
        <v>3636</v>
      </c>
      <c s="1852" t="s">
        <v>4704</v>
      </c>
      <c s="1852" t="s">
        <v>22</v>
      </c>
      <c s="1852" t="s">
        <v>907</v>
      </c>
    </row>
    <row r="959" spans="1:9" ht="11.25" customHeight="1">
      <c r="A959" s="1852" t="s">
        <v>2247</v>
      </c>
      <c s="1852" t="s">
        <v>16</v>
      </c>
      <c s="1852" t="s">
        <v>4705</v>
      </c>
      <c s="1852" t="s">
        <v>4706</v>
      </c>
      <c s="1852" t="s">
        <v>4707</v>
      </c>
      <c s="1852" t="s">
        <v>2347</v>
      </c>
      <c s="1852" t="s">
        <v>4708</v>
      </c>
      <c s="1852" t="s">
        <v>22</v>
      </c>
      <c s="1852" t="s">
        <v>907</v>
      </c>
    </row>
    <row r="960" spans="1:9" ht="11.25" customHeight="1">
      <c r="A960" s="1852" t="s">
        <v>2247</v>
      </c>
      <c s="1852" t="s">
        <v>16</v>
      </c>
      <c s="1852" t="s">
        <v>4709</v>
      </c>
      <c s="1852" t="s">
        <v>4710</v>
      </c>
      <c s="1852" t="s">
        <v>4711</v>
      </c>
      <c s="1852" t="s">
        <v>2826</v>
      </c>
      <c s="1852" t="s">
        <v>4712</v>
      </c>
      <c s="1852" t="s">
        <v>22</v>
      </c>
      <c s="1852" t="s">
        <v>907</v>
      </c>
    </row>
    <row r="961" spans="1:9" ht="11.25" customHeight="1">
      <c r="A961" s="1852" t="s">
        <v>2247</v>
      </c>
      <c s="1852" t="s">
        <v>16</v>
      </c>
      <c s="1852" t="s">
        <v>3861</v>
      </c>
      <c s="1852" t="s">
        <v>3862</v>
      </c>
      <c s="1852" t="s">
        <v>3863</v>
      </c>
      <c s="1852" t="s">
        <v>2659</v>
      </c>
      <c s="1852" t="s">
        <v>3864</v>
      </c>
      <c s="1852" t="s">
        <v>22</v>
      </c>
      <c s="1852" t="s">
        <v>907</v>
      </c>
    </row>
    <row r="962" spans="1:9" ht="11.25" customHeight="1">
      <c r="A962" s="1852" t="s">
        <v>2247</v>
      </c>
      <c s="1852" t="s">
        <v>16</v>
      </c>
      <c s="1852" t="s">
        <v>3865</v>
      </c>
      <c s="1852" t="s">
        <v>3866</v>
      </c>
      <c s="1852" t="s">
        <v>3867</v>
      </c>
      <c s="1852" t="s">
        <v>2511</v>
      </c>
      <c s="1852" t="s">
        <v>3868</v>
      </c>
      <c s="1852" t="s">
        <v>22</v>
      </c>
      <c s="1852" t="s">
        <v>907</v>
      </c>
    </row>
    <row r="963" spans="1:9" ht="11.25" customHeight="1">
      <c r="A963" s="1852" t="s">
        <v>2247</v>
      </c>
      <c s="1852" t="s">
        <v>16</v>
      </c>
      <c s="1852" t="s">
        <v>2581</v>
      </c>
      <c s="1852" t="s">
        <v>2582</v>
      </c>
      <c s="1852" t="s">
        <v>2583</v>
      </c>
      <c s="1852" t="s">
        <v>2584</v>
      </c>
      <c s="1852" t="s">
        <v>22</v>
      </c>
      <c s="1852" t="s">
        <v>22</v>
      </c>
      <c s="1852" t="s">
        <v>907</v>
      </c>
    </row>
    <row r="964" spans="1:9" ht="11.25" customHeight="1">
      <c r="A964" s="1852" t="s">
        <v>2247</v>
      </c>
      <c s="1852" t="s">
        <v>16</v>
      </c>
      <c s="1852" t="s">
        <v>2585</v>
      </c>
      <c s="1852" t="s">
        <v>2586</v>
      </c>
      <c s="1852" t="s">
        <v>2587</v>
      </c>
      <c s="1852" t="s">
        <v>2304</v>
      </c>
      <c s="1852" t="s">
        <v>22</v>
      </c>
      <c s="1852" t="s">
        <v>22</v>
      </c>
      <c s="1852" t="s">
        <v>907</v>
      </c>
    </row>
    <row r="965" spans="1:9" ht="11.25" customHeight="1">
      <c r="A965" s="1852" t="s">
        <v>2247</v>
      </c>
      <c s="1852" t="s">
        <v>16</v>
      </c>
      <c s="1852" t="s">
        <v>2588</v>
      </c>
      <c s="1852" t="s">
        <v>2589</v>
      </c>
      <c s="1852" t="s">
        <v>2590</v>
      </c>
      <c s="1852" t="s">
        <v>2591</v>
      </c>
      <c s="1852" t="s">
        <v>22</v>
      </c>
      <c s="1852" t="s">
        <v>22</v>
      </c>
      <c s="1852" t="s">
        <v>907</v>
      </c>
    </row>
    <row r="966" spans="1:9" ht="11.25" customHeight="1">
      <c r="A966" s="1852" t="s">
        <v>2247</v>
      </c>
      <c s="1852" t="s">
        <v>16</v>
      </c>
      <c s="1852" t="s">
        <v>2597</v>
      </c>
      <c s="1852" t="s">
        <v>2598</v>
      </c>
      <c s="1852" t="s">
        <v>2599</v>
      </c>
      <c s="1852" t="s">
        <v>2600</v>
      </c>
      <c s="1852" t="s">
        <v>22</v>
      </c>
      <c s="1852" t="s">
        <v>22</v>
      </c>
      <c s="1852" t="s">
        <v>907</v>
      </c>
    </row>
    <row r="967" spans="1:9" ht="11.25" customHeight="1">
      <c r="A967" s="1852" t="s">
        <v>2247</v>
      </c>
      <c s="1852" t="s">
        <v>16</v>
      </c>
      <c s="1852" t="s">
        <v>3898</v>
      </c>
      <c s="1852" t="s">
        <v>3899</v>
      </c>
      <c s="1852" t="s">
        <v>3900</v>
      </c>
      <c s="1852" t="s">
        <v>2600</v>
      </c>
      <c s="1852" t="s">
        <v>22</v>
      </c>
      <c s="1852" t="s">
        <v>22</v>
      </c>
      <c s="1852" t="s">
        <v>907</v>
      </c>
    </row>
    <row r="968" spans="1:9" ht="11.25" customHeight="1">
      <c r="A968" s="1852" t="s">
        <v>2247</v>
      </c>
      <c s="1852" t="s">
        <v>16</v>
      </c>
      <c s="1852" t="s">
        <v>3901</v>
      </c>
      <c s="1852" t="s">
        <v>3902</v>
      </c>
      <c s="1852" t="s">
        <v>3903</v>
      </c>
      <c s="1852" t="s">
        <v>2281</v>
      </c>
      <c s="1852" t="s">
        <v>3595</v>
      </c>
      <c s="1852" t="s">
        <v>22</v>
      </c>
      <c s="1852" t="s">
        <v>907</v>
      </c>
    </row>
    <row r="969" spans="1:9" ht="11.25" customHeight="1">
      <c r="A969" s="1852" t="s">
        <v>2247</v>
      </c>
      <c s="1852" t="s">
        <v>16</v>
      </c>
      <c s="1852" t="s">
        <v>2606</v>
      </c>
      <c s="1852" t="s">
        <v>2607</v>
      </c>
      <c s="1852" t="s">
        <v>2608</v>
      </c>
      <c s="1852" t="s">
        <v>2515</v>
      </c>
      <c s="1852" t="s">
        <v>22</v>
      </c>
      <c s="1852" t="s">
        <v>22</v>
      </c>
      <c s="1852" t="s">
        <v>907</v>
      </c>
    </row>
    <row r="970" spans="1:9" ht="11.25" customHeight="1">
      <c r="A970" s="1852" t="s">
        <v>2247</v>
      </c>
      <c s="1852" t="s">
        <v>16</v>
      </c>
      <c s="1852" t="s">
        <v>3907</v>
      </c>
      <c s="1852" t="s">
        <v>3908</v>
      </c>
      <c s="1852" t="s">
        <v>3909</v>
      </c>
      <c s="1852" t="s">
        <v>2477</v>
      </c>
      <c s="1852" t="s">
        <v>3910</v>
      </c>
      <c s="1852" t="s">
        <v>22</v>
      </c>
      <c s="1852" t="s">
        <v>907</v>
      </c>
    </row>
    <row r="971" spans="1:9" ht="11.25" customHeight="1">
      <c r="A971" s="1852" t="s">
        <v>2247</v>
      </c>
      <c s="1852" t="s">
        <v>16</v>
      </c>
      <c s="1852" t="s">
        <v>3919</v>
      </c>
      <c s="1852" t="s">
        <v>3920</v>
      </c>
      <c s="1852" t="s">
        <v>3921</v>
      </c>
      <c s="1852" t="s">
        <v>2467</v>
      </c>
      <c s="1852" t="s">
        <v>3922</v>
      </c>
      <c s="1852" t="s">
        <v>22</v>
      </c>
      <c s="1852" t="s">
        <v>907</v>
      </c>
    </row>
    <row r="972" spans="1:9" ht="11.25" customHeight="1">
      <c r="A972" s="1852" t="s">
        <v>2247</v>
      </c>
      <c s="1852" t="s">
        <v>16</v>
      </c>
      <c s="1852" t="s">
        <v>3938</v>
      </c>
      <c s="1852" t="s">
        <v>3939</v>
      </c>
      <c s="1852" t="s">
        <v>3940</v>
      </c>
      <c s="1852" t="s">
        <v>2746</v>
      </c>
      <c s="1852" t="s">
        <v>3941</v>
      </c>
      <c s="1852" t="s">
        <v>22</v>
      </c>
      <c s="1852" t="s">
        <v>907</v>
      </c>
    </row>
    <row r="973" spans="1:9" ht="11.25" customHeight="1">
      <c r="A973" s="1852" t="s">
        <v>2247</v>
      </c>
      <c s="1852" t="s">
        <v>16</v>
      </c>
      <c s="1852" t="s">
        <v>3942</v>
      </c>
      <c s="1852" t="s">
        <v>3943</v>
      </c>
      <c s="1852" t="s">
        <v>3944</v>
      </c>
      <c s="1852" t="s">
        <v>3210</v>
      </c>
      <c s="1852" t="s">
        <v>22</v>
      </c>
      <c s="1852" t="s">
        <v>22</v>
      </c>
      <c s="1852" t="s">
        <v>907</v>
      </c>
    </row>
    <row r="974" spans="1:9" ht="11.25" customHeight="1">
      <c r="A974" s="1852" t="s">
        <v>2247</v>
      </c>
      <c s="1852" t="s">
        <v>16</v>
      </c>
      <c s="1852" t="s">
        <v>3949</v>
      </c>
      <c s="1852" t="s">
        <v>3950</v>
      </c>
      <c s="1852" t="s">
        <v>3951</v>
      </c>
      <c s="1852" t="s">
        <v>2347</v>
      </c>
      <c s="1852" t="s">
        <v>22</v>
      </c>
      <c s="1852" t="s">
        <v>22</v>
      </c>
      <c s="1852" t="s">
        <v>907</v>
      </c>
    </row>
    <row r="975" spans="1:9" ht="11.25" customHeight="1">
      <c r="A975" s="1852" t="s">
        <v>2247</v>
      </c>
      <c s="1852" t="s">
        <v>16</v>
      </c>
      <c s="1852" t="s">
        <v>3952</v>
      </c>
      <c s="1852" t="s">
        <v>3953</v>
      </c>
      <c s="1852" t="s">
        <v>3954</v>
      </c>
      <c s="1852" t="s">
        <v>2691</v>
      </c>
      <c s="1852" t="s">
        <v>3955</v>
      </c>
      <c s="1852" t="s">
        <v>22</v>
      </c>
      <c s="1852" t="s">
        <v>907</v>
      </c>
    </row>
    <row r="976" spans="1:9" ht="11.25" customHeight="1">
      <c r="A976" s="1852" t="s">
        <v>2247</v>
      </c>
      <c s="1852" t="s">
        <v>16</v>
      </c>
      <c s="1852" t="s">
        <v>3956</v>
      </c>
      <c s="1852" t="s">
        <v>3957</v>
      </c>
      <c s="1852" t="s">
        <v>3958</v>
      </c>
      <c s="1852" t="s">
        <v>2567</v>
      </c>
      <c s="1852" t="s">
        <v>3959</v>
      </c>
      <c s="1852" t="s">
        <v>22</v>
      </c>
      <c s="1852" t="s">
        <v>907</v>
      </c>
    </row>
    <row r="977" spans="1:9" ht="11.25" customHeight="1">
      <c r="A977" s="1852" t="s">
        <v>2247</v>
      </c>
      <c s="1852" t="s">
        <v>16</v>
      </c>
      <c s="1852" t="s">
        <v>3960</v>
      </c>
      <c s="1852" t="s">
        <v>3961</v>
      </c>
      <c s="1852" t="s">
        <v>3962</v>
      </c>
      <c s="1852" t="s">
        <v>2600</v>
      </c>
      <c s="1852" t="s">
        <v>22</v>
      </c>
      <c s="1852" t="s">
        <v>22</v>
      </c>
      <c s="1852" t="s">
        <v>907</v>
      </c>
    </row>
    <row r="978" spans="1:9" ht="11.25" customHeight="1">
      <c r="A978" s="1852" t="s">
        <v>2247</v>
      </c>
      <c s="1852" t="s">
        <v>16</v>
      </c>
      <c s="1852" t="s">
        <v>2613</v>
      </c>
      <c s="1852" t="s">
        <v>2614</v>
      </c>
      <c s="1852" t="s">
        <v>2615</v>
      </c>
      <c s="1852" t="s">
        <v>2281</v>
      </c>
      <c s="1852" t="s">
        <v>2616</v>
      </c>
      <c s="1852" t="s">
        <v>22</v>
      </c>
      <c s="1852" t="s">
        <v>907</v>
      </c>
    </row>
    <row r="979" spans="1:9" ht="11.25" customHeight="1">
      <c r="A979" s="1852" t="s">
        <v>2247</v>
      </c>
      <c s="1852" t="s">
        <v>16</v>
      </c>
      <c s="1852" t="s">
        <v>2617</v>
      </c>
      <c s="1852" t="s">
        <v>2618</v>
      </c>
      <c s="1852" t="s">
        <v>2619</v>
      </c>
      <c s="1852" t="s">
        <v>2620</v>
      </c>
      <c s="1852" t="s">
        <v>2621</v>
      </c>
      <c s="1852" t="s">
        <v>22</v>
      </c>
      <c s="1852" t="s">
        <v>907</v>
      </c>
    </row>
    <row r="980" spans="1:9" ht="11.25" customHeight="1">
      <c r="A980" s="1852" t="s">
        <v>2247</v>
      </c>
      <c s="1852" t="s">
        <v>16</v>
      </c>
      <c s="1852" t="s">
        <v>3971</v>
      </c>
      <c s="1852" t="s">
        <v>3972</v>
      </c>
      <c s="1852" t="s">
        <v>3973</v>
      </c>
      <c s="1852" t="s">
        <v>2477</v>
      </c>
      <c s="1852" t="s">
        <v>3974</v>
      </c>
      <c s="1852" t="s">
        <v>22</v>
      </c>
      <c s="1852" t="s">
        <v>907</v>
      </c>
    </row>
    <row r="981" spans="1:9" ht="11.25" customHeight="1">
      <c r="A981" s="1852" t="s">
        <v>2247</v>
      </c>
      <c s="1852" t="s">
        <v>16</v>
      </c>
      <c s="1852" t="s">
        <v>2622</v>
      </c>
      <c s="1852" t="s">
        <v>2623</v>
      </c>
      <c s="1852" t="s">
        <v>2624</v>
      </c>
      <c s="1852" t="s">
        <v>2519</v>
      </c>
      <c s="1852" t="s">
        <v>2520</v>
      </c>
      <c s="1852" t="s">
        <v>22</v>
      </c>
      <c s="1852" t="s">
        <v>907</v>
      </c>
    </row>
    <row r="982" spans="1:9" ht="11.25" customHeight="1">
      <c r="A982" s="1852" t="s">
        <v>2247</v>
      </c>
      <c s="1852" t="s">
        <v>16</v>
      </c>
      <c s="1852" t="s">
        <v>2625</v>
      </c>
      <c s="1852" t="s">
        <v>2626</v>
      </c>
      <c s="1852" t="s">
        <v>2627</v>
      </c>
      <c s="1852" t="s">
        <v>2411</v>
      </c>
      <c s="1852" t="s">
        <v>2628</v>
      </c>
      <c s="1852" t="s">
        <v>22</v>
      </c>
      <c s="1852" t="s">
        <v>907</v>
      </c>
    </row>
    <row r="983" spans="1:9" ht="11.25" customHeight="1">
      <c r="A983" s="1852" t="s">
        <v>2247</v>
      </c>
      <c s="1852" t="s">
        <v>16</v>
      </c>
      <c s="1852" t="s">
        <v>2629</v>
      </c>
      <c s="1852" t="s">
        <v>2630</v>
      </c>
      <c s="1852" t="s">
        <v>2631</v>
      </c>
      <c s="1852" t="s">
        <v>2567</v>
      </c>
      <c s="1852" t="s">
        <v>2632</v>
      </c>
      <c s="1852" t="s">
        <v>22</v>
      </c>
      <c s="1852" t="s">
        <v>907</v>
      </c>
    </row>
    <row r="984" spans="1:9" ht="11.25" customHeight="1">
      <c r="A984" s="1852" t="s">
        <v>2247</v>
      </c>
      <c s="1852" t="s">
        <v>16</v>
      </c>
      <c s="1852" t="s">
        <v>2633</v>
      </c>
      <c s="1852" t="s">
        <v>2634</v>
      </c>
      <c s="1852" t="s">
        <v>2635</v>
      </c>
      <c s="1852" t="s">
        <v>2636</v>
      </c>
      <c s="1852" t="s">
        <v>2637</v>
      </c>
      <c s="1852" t="s">
        <v>22</v>
      </c>
      <c s="1852" t="s">
        <v>907</v>
      </c>
    </row>
    <row r="985" spans="1:9" ht="11.25" customHeight="1">
      <c r="A985" s="1852" t="s">
        <v>2247</v>
      </c>
      <c s="1852" t="s">
        <v>16</v>
      </c>
      <c s="1852" t="s">
        <v>3979</v>
      </c>
      <c s="1852" t="s">
        <v>3980</v>
      </c>
      <c s="1852" t="s">
        <v>3981</v>
      </c>
      <c s="1852" t="s">
        <v>2411</v>
      </c>
      <c s="1852" t="s">
        <v>3982</v>
      </c>
      <c s="1852" t="s">
        <v>22</v>
      </c>
      <c s="1852" t="s">
        <v>907</v>
      </c>
    </row>
    <row r="986" spans="1:9" ht="11.25" customHeight="1">
      <c r="A986" s="1852" t="s">
        <v>2247</v>
      </c>
      <c s="1852" t="s">
        <v>16</v>
      </c>
      <c s="1852" t="s">
        <v>3992</v>
      </c>
      <c s="1852" t="s">
        <v>3993</v>
      </c>
      <c s="1852" t="s">
        <v>3994</v>
      </c>
      <c s="1852" t="s">
        <v>2403</v>
      </c>
      <c s="1852" t="s">
        <v>22</v>
      </c>
      <c s="1852" t="s">
        <v>22</v>
      </c>
      <c s="1852" t="s">
        <v>907</v>
      </c>
    </row>
    <row r="987" spans="1:9" ht="11.25" customHeight="1">
      <c r="A987" s="1852" t="s">
        <v>2247</v>
      </c>
      <c s="1852" t="s">
        <v>16</v>
      </c>
      <c s="1852" t="s">
        <v>3995</v>
      </c>
      <c s="1852" t="s">
        <v>3996</v>
      </c>
      <c s="1852" t="s">
        <v>3997</v>
      </c>
      <c s="1852" t="s">
        <v>3636</v>
      </c>
      <c s="1852" t="s">
        <v>3998</v>
      </c>
      <c s="1852" t="s">
        <v>22</v>
      </c>
      <c s="1852" t="s">
        <v>907</v>
      </c>
    </row>
    <row r="988" spans="1:9" ht="11.25" customHeight="1">
      <c r="A988" s="1852" t="s">
        <v>2247</v>
      </c>
      <c s="1852" t="s">
        <v>16</v>
      </c>
      <c s="1852" t="s">
        <v>3999</v>
      </c>
      <c s="1852" t="s">
        <v>4000</v>
      </c>
      <c s="1852" t="s">
        <v>4001</v>
      </c>
      <c s="1852" t="s">
        <v>2659</v>
      </c>
      <c s="1852" t="s">
        <v>4002</v>
      </c>
      <c s="1852" t="s">
        <v>22</v>
      </c>
      <c s="1852" t="s">
        <v>907</v>
      </c>
    </row>
    <row r="989" spans="1:9" ht="11.25" customHeight="1">
      <c r="A989" s="1852" t="s">
        <v>2247</v>
      </c>
      <c s="1852" t="s">
        <v>16</v>
      </c>
      <c s="1852" t="s">
        <v>2638</v>
      </c>
      <c s="1852" t="s">
        <v>2639</v>
      </c>
      <c s="1852" t="s">
        <v>2640</v>
      </c>
      <c s="1852" t="s">
        <v>2620</v>
      </c>
      <c s="1852" t="s">
        <v>2641</v>
      </c>
      <c s="1852" t="s">
        <v>22</v>
      </c>
      <c s="1852" t="s">
        <v>907</v>
      </c>
    </row>
    <row r="990" spans="1:9" ht="11.25" customHeight="1">
      <c r="A990" s="1852" t="s">
        <v>2247</v>
      </c>
      <c s="1852" t="s">
        <v>16</v>
      </c>
      <c s="1852" t="s">
        <v>2642</v>
      </c>
      <c s="1852" t="s">
        <v>2643</v>
      </c>
      <c s="1852" t="s">
        <v>2644</v>
      </c>
      <c s="1852" t="s">
        <v>2595</v>
      </c>
      <c s="1852" t="s">
        <v>22</v>
      </c>
      <c s="1852" t="s">
        <v>22</v>
      </c>
      <c s="1852" t="s">
        <v>907</v>
      </c>
    </row>
    <row r="991" spans="1:9" ht="11.25" customHeight="1">
      <c r="A991" s="1852" t="s">
        <v>2247</v>
      </c>
      <c s="1852" t="s">
        <v>16</v>
      </c>
      <c s="1852" t="s">
        <v>4010</v>
      </c>
      <c s="1852" t="s">
        <v>4011</v>
      </c>
      <c s="1852" t="s">
        <v>4012</v>
      </c>
      <c s="1852" t="s">
        <v>2659</v>
      </c>
      <c s="1852" t="s">
        <v>4002</v>
      </c>
      <c s="1852" t="s">
        <v>22</v>
      </c>
      <c s="1852" t="s">
        <v>907</v>
      </c>
    </row>
    <row r="992" spans="1:9" ht="11.25" customHeight="1">
      <c r="A992" s="1852" t="s">
        <v>2247</v>
      </c>
      <c s="1852" t="s">
        <v>16</v>
      </c>
      <c s="1852" t="s">
        <v>4017</v>
      </c>
      <c s="1852" t="s">
        <v>4018</v>
      </c>
      <c s="1852" t="s">
        <v>4019</v>
      </c>
      <c s="1852" t="s">
        <v>3194</v>
      </c>
      <c s="1852" t="s">
        <v>22</v>
      </c>
      <c s="1852" t="s">
        <v>22</v>
      </c>
      <c s="1852" t="s">
        <v>907</v>
      </c>
    </row>
    <row r="993" spans="1:9" ht="11.25" customHeight="1">
      <c r="A993" s="1852" t="s">
        <v>2247</v>
      </c>
      <c s="1852" t="s">
        <v>16</v>
      </c>
      <c s="1852" t="s">
        <v>4032</v>
      </c>
      <c s="1852" t="s">
        <v>4033</v>
      </c>
      <c s="1852" t="s">
        <v>4034</v>
      </c>
      <c s="1852" t="s">
        <v>2604</v>
      </c>
      <c s="1852" t="s">
        <v>4035</v>
      </c>
      <c s="1852" t="s">
        <v>22</v>
      </c>
      <c s="1852" t="s">
        <v>907</v>
      </c>
    </row>
    <row r="994" spans="1:9" ht="11.25" customHeight="1">
      <c r="A994" s="1852" t="s">
        <v>2247</v>
      </c>
      <c s="1852" t="s">
        <v>16</v>
      </c>
      <c s="1852" t="s">
        <v>4040</v>
      </c>
      <c s="1852" t="s">
        <v>4041</v>
      </c>
      <c s="1852" t="s">
        <v>4042</v>
      </c>
      <c s="1852" t="s">
        <v>2511</v>
      </c>
      <c s="1852" t="s">
        <v>22</v>
      </c>
      <c s="1852" t="s">
        <v>22</v>
      </c>
      <c s="1852" t="s">
        <v>907</v>
      </c>
    </row>
    <row r="995" spans="1:9" ht="11.25" customHeight="1">
      <c r="A995" s="1852" t="s">
        <v>2247</v>
      </c>
      <c s="1852" t="s">
        <v>16</v>
      </c>
      <c s="1852" t="s">
        <v>4043</v>
      </c>
      <c s="1852" t="s">
        <v>4044</v>
      </c>
      <c s="1852" t="s">
        <v>4045</v>
      </c>
      <c s="1852" t="s">
        <v>2411</v>
      </c>
      <c s="1852" t="s">
        <v>22</v>
      </c>
      <c s="1852" t="s">
        <v>22</v>
      </c>
      <c s="1852" t="s">
        <v>907</v>
      </c>
    </row>
    <row r="996" spans="1:9" ht="11.25" customHeight="1">
      <c r="A996" s="1852" t="s">
        <v>2247</v>
      </c>
      <c s="1852" t="s">
        <v>16</v>
      </c>
      <c s="1852" t="s">
        <v>4068</v>
      </c>
      <c s="1852" t="s">
        <v>4069</v>
      </c>
      <c s="1852" t="s">
        <v>4070</v>
      </c>
      <c s="1852" t="s">
        <v>2604</v>
      </c>
      <c s="1852" t="s">
        <v>4071</v>
      </c>
      <c s="1852" t="s">
        <v>22</v>
      </c>
      <c s="1852" t="s">
        <v>907</v>
      </c>
    </row>
    <row r="997" spans="1:9" ht="11.25" customHeight="1">
      <c r="A997" s="1852" t="s">
        <v>2247</v>
      </c>
      <c s="1852" t="s">
        <v>16</v>
      </c>
      <c s="1852" t="s">
        <v>4072</v>
      </c>
      <c s="1852" t="s">
        <v>4073</v>
      </c>
      <c s="1852" t="s">
        <v>4074</v>
      </c>
      <c s="1852" t="s">
        <v>2411</v>
      </c>
      <c s="1852" t="s">
        <v>4075</v>
      </c>
      <c s="1852" t="s">
        <v>22</v>
      </c>
      <c s="1852" t="s">
        <v>907</v>
      </c>
    </row>
    <row r="998" spans="1:9" ht="11.25" customHeight="1">
      <c r="A998" s="1852" t="s">
        <v>2247</v>
      </c>
      <c s="1852" t="s">
        <v>16</v>
      </c>
      <c s="1852" t="s">
        <v>4080</v>
      </c>
      <c s="1852" t="s">
        <v>4081</v>
      </c>
      <c s="1852" t="s">
        <v>4082</v>
      </c>
      <c s="1852" t="s">
        <v>2584</v>
      </c>
      <c s="1852" t="s">
        <v>22</v>
      </c>
      <c s="1852" t="s">
        <v>22</v>
      </c>
      <c s="1852" t="s">
        <v>907</v>
      </c>
    </row>
    <row r="999" spans="1:9" ht="11.25" customHeight="1">
      <c r="A999" s="1852" t="s">
        <v>2247</v>
      </c>
      <c s="1852" t="s">
        <v>16</v>
      </c>
      <c s="1852" t="s">
        <v>4087</v>
      </c>
      <c s="1852" t="s">
        <v>4088</v>
      </c>
      <c s="1852" t="s">
        <v>4089</v>
      </c>
      <c s="1852" t="s">
        <v>2511</v>
      </c>
      <c s="1852" t="s">
        <v>4090</v>
      </c>
      <c s="1852" t="s">
        <v>22</v>
      </c>
      <c s="1852" t="s">
        <v>907</v>
      </c>
    </row>
    <row r="1000" spans="1:9" ht="11.25" customHeight="1">
      <c r="A1000" s="1852" t="s">
        <v>2247</v>
      </c>
      <c s="1852" t="s">
        <v>16</v>
      </c>
      <c s="1852" t="s">
        <v>4091</v>
      </c>
      <c s="1852" t="s">
        <v>4092</v>
      </c>
      <c s="1852" t="s">
        <v>4093</v>
      </c>
      <c s="1852" t="s">
        <v>3636</v>
      </c>
      <c s="1852" t="s">
        <v>4094</v>
      </c>
      <c s="1852" t="s">
        <v>22</v>
      </c>
      <c s="1852" t="s">
        <v>907</v>
      </c>
    </row>
    <row r="1001" spans="1:9" ht="11.25" customHeight="1">
      <c r="A1001" s="1852" t="s">
        <v>2247</v>
      </c>
      <c s="1852" t="s">
        <v>16</v>
      </c>
      <c s="1852" t="s">
        <v>2672</v>
      </c>
      <c s="1852" t="s">
        <v>2673</v>
      </c>
      <c s="1852" t="s">
        <v>2674</v>
      </c>
      <c s="1852" t="s">
        <v>2675</v>
      </c>
      <c s="1852" t="s">
        <v>2676</v>
      </c>
      <c s="1852" t="s">
        <v>22</v>
      </c>
      <c s="1852" t="s">
        <v>907</v>
      </c>
    </row>
    <row r="1002" spans="1:9" ht="11.25" customHeight="1">
      <c r="A1002" s="1852" t="s">
        <v>2247</v>
      </c>
      <c s="1852" t="s">
        <v>16</v>
      </c>
      <c s="1852" t="s">
        <v>2709</v>
      </c>
      <c s="1852" t="s">
        <v>2710</v>
      </c>
      <c s="1852" t="s">
        <v>2711</v>
      </c>
      <c s="1852" t="s">
        <v>2477</v>
      </c>
      <c s="1852" t="s">
        <v>2712</v>
      </c>
      <c s="1852" t="s">
        <v>22</v>
      </c>
      <c s="1852" t="s">
        <v>907</v>
      </c>
    </row>
    <row r="1003" spans="1:9" ht="11.25" customHeight="1">
      <c r="A1003" s="1852" t="s">
        <v>2247</v>
      </c>
      <c s="1852" t="s">
        <v>16</v>
      </c>
      <c s="1852" t="s">
        <v>4107</v>
      </c>
      <c s="1852" t="s">
        <v>4108</v>
      </c>
      <c s="1852" t="s">
        <v>4109</v>
      </c>
      <c s="1852" t="s">
        <v>3241</v>
      </c>
      <c s="1852" t="s">
        <v>4110</v>
      </c>
      <c s="1852" t="s">
        <v>22</v>
      </c>
      <c s="1852" t="s">
        <v>907</v>
      </c>
    </row>
    <row r="1004" spans="1:9" ht="11.25" customHeight="1">
      <c r="A1004" s="1852" t="s">
        <v>2247</v>
      </c>
      <c s="1852" t="s">
        <v>16</v>
      </c>
      <c s="1852" t="s">
        <v>2717</v>
      </c>
      <c s="1852" t="s">
        <v>2718</v>
      </c>
      <c s="1852" t="s">
        <v>2719</v>
      </c>
      <c s="1852" t="s">
        <v>2584</v>
      </c>
      <c s="1852" t="s">
        <v>22</v>
      </c>
      <c s="1852" t="s">
        <v>22</v>
      </c>
      <c s="1852" t="s">
        <v>907</v>
      </c>
    </row>
    <row r="1005" spans="1:9" ht="11.25" customHeight="1">
      <c r="A1005" s="1852" t="s">
        <v>2247</v>
      </c>
      <c s="1852" t="s">
        <v>16</v>
      </c>
      <c s="1852" t="s">
        <v>4130</v>
      </c>
      <c s="1852" t="s">
        <v>4131</v>
      </c>
      <c s="1852" t="s">
        <v>4132</v>
      </c>
      <c s="1852" t="s">
        <v>2636</v>
      </c>
      <c s="1852" t="s">
        <v>4133</v>
      </c>
      <c s="1852" t="s">
        <v>22</v>
      </c>
      <c s="1852" t="s">
        <v>907</v>
      </c>
    </row>
    <row r="1006" spans="1:9" ht="11.25" customHeight="1">
      <c r="A1006" s="1852" t="s">
        <v>2247</v>
      </c>
      <c s="1852" t="s">
        <v>16</v>
      </c>
      <c s="1852" t="s">
        <v>4142</v>
      </c>
      <c s="1852" t="s">
        <v>4143</v>
      </c>
      <c s="1852" t="s">
        <v>4144</v>
      </c>
      <c s="1852" t="s">
        <v>51</v>
      </c>
      <c s="1852" t="s">
        <v>4145</v>
      </c>
      <c s="1852" t="s">
        <v>22</v>
      </c>
      <c s="1852" t="s">
        <v>907</v>
      </c>
    </row>
    <row r="1007" spans="1:9" ht="11.25" customHeight="1">
      <c r="A1007" s="1852" t="s">
        <v>2247</v>
      </c>
      <c s="1852" t="s">
        <v>16</v>
      </c>
      <c s="1852" t="s">
        <v>4161</v>
      </c>
      <c s="1852" t="s">
        <v>4162</v>
      </c>
      <c s="1852" t="s">
        <v>4163</v>
      </c>
      <c s="1852" t="s">
        <v>2272</v>
      </c>
      <c s="1852" t="s">
        <v>4164</v>
      </c>
      <c s="1852" t="s">
        <v>22</v>
      </c>
      <c s="1852" t="s">
        <v>907</v>
      </c>
    </row>
    <row r="1008" spans="1:9" ht="11.25" customHeight="1">
      <c r="A1008" s="1852" t="s">
        <v>2247</v>
      </c>
      <c s="1852" t="s">
        <v>16</v>
      </c>
      <c s="1852" t="s">
        <v>4165</v>
      </c>
      <c s="1852" t="s">
        <v>4166</v>
      </c>
      <c s="1852" t="s">
        <v>4167</v>
      </c>
      <c s="1852" t="s">
        <v>2988</v>
      </c>
      <c s="1852" t="s">
        <v>4168</v>
      </c>
      <c s="1852" t="s">
        <v>22</v>
      </c>
      <c s="1852" t="s">
        <v>907</v>
      </c>
    </row>
    <row r="1009" spans="1:9" ht="11.25" customHeight="1">
      <c r="A1009" s="1852" t="s">
        <v>2247</v>
      </c>
      <c s="1852" t="s">
        <v>16</v>
      </c>
      <c s="1852" t="s">
        <v>4200</v>
      </c>
      <c s="1852" t="s">
        <v>4201</v>
      </c>
      <c s="1852" t="s">
        <v>4202</v>
      </c>
      <c s="1852" t="s">
        <v>2988</v>
      </c>
      <c s="1852" t="s">
        <v>4203</v>
      </c>
      <c s="1852" t="s">
        <v>22</v>
      </c>
      <c s="1852" t="s">
        <v>907</v>
      </c>
    </row>
    <row r="1010" spans="1:9" ht="11.25" customHeight="1">
      <c r="A1010" s="1852" t="s">
        <v>2247</v>
      </c>
      <c s="1852" t="s">
        <v>16</v>
      </c>
      <c s="1852" t="s">
        <v>4208</v>
      </c>
      <c s="1852" t="s">
        <v>4209</v>
      </c>
      <c s="1852" t="s">
        <v>4210</v>
      </c>
      <c s="1852" t="s">
        <v>2648</v>
      </c>
      <c s="1852" t="s">
        <v>4211</v>
      </c>
      <c s="1852" t="s">
        <v>22</v>
      </c>
      <c s="1852" t="s">
        <v>907</v>
      </c>
    </row>
    <row r="1011" spans="1:9" ht="11.25" customHeight="1">
      <c r="A1011" s="1852" t="s">
        <v>2247</v>
      </c>
      <c s="1852" t="s">
        <v>16</v>
      </c>
      <c s="1852" t="s">
        <v>4212</v>
      </c>
      <c s="1852" t="s">
        <v>4213</v>
      </c>
      <c s="1852" t="s">
        <v>4214</v>
      </c>
      <c s="1852" t="s">
        <v>2403</v>
      </c>
      <c s="1852" t="s">
        <v>22</v>
      </c>
      <c s="1852" t="s">
        <v>22</v>
      </c>
      <c s="1852" t="s">
        <v>907</v>
      </c>
    </row>
    <row r="1012" spans="1:9" ht="11.25" customHeight="1">
      <c r="A1012" s="1852" t="s">
        <v>2247</v>
      </c>
      <c s="1852" t="s">
        <v>16</v>
      </c>
      <c s="1852" t="s">
        <v>4215</v>
      </c>
      <c s="1852" t="s">
        <v>4216</v>
      </c>
      <c s="1852" t="s">
        <v>4217</v>
      </c>
      <c s="1852" t="s">
        <v>2708</v>
      </c>
      <c s="1852" t="s">
        <v>4218</v>
      </c>
      <c s="1852" t="s">
        <v>22</v>
      </c>
      <c s="1852" t="s">
        <v>907</v>
      </c>
    </row>
    <row r="1013" spans="1:9" ht="11.25" customHeight="1">
      <c r="A1013" s="1852" t="s">
        <v>2247</v>
      </c>
      <c s="1852" t="s">
        <v>16</v>
      </c>
      <c s="1852" t="s">
        <v>2751</v>
      </c>
      <c s="1852" t="s">
        <v>2752</v>
      </c>
      <c s="1852" t="s">
        <v>2753</v>
      </c>
      <c s="1852" t="s">
        <v>2265</v>
      </c>
      <c s="1852" t="s">
        <v>22</v>
      </c>
      <c s="1852" t="s">
        <v>22</v>
      </c>
      <c s="1852" t="s">
        <v>907</v>
      </c>
    </row>
    <row r="1014" spans="1:9" ht="11.25" customHeight="1">
      <c r="A1014" s="1852" t="s">
        <v>2247</v>
      </c>
      <c s="1852" t="s">
        <v>16</v>
      </c>
      <c s="1852" t="s">
        <v>2754</v>
      </c>
      <c s="1852" t="s">
        <v>2755</v>
      </c>
      <c s="1852" t="s">
        <v>2756</v>
      </c>
      <c s="1852" t="s">
        <v>2403</v>
      </c>
      <c s="1852" t="s">
        <v>22</v>
      </c>
      <c s="1852" t="s">
        <v>22</v>
      </c>
      <c s="1852" t="s">
        <v>907</v>
      </c>
    </row>
    <row r="1015" spans="1:9" ht="11.25" customHeight="1">
      <c r="A1015" s="1852" t="s">
        <v>2247</v>
      </c>
      <c s="1852" t="s">
        <v>16</v>
      </c>
      <c s="1852" t="s">
        <v>4223</v>
      </c>
      <c s="1852" t="s">
        <v>4224</v>
      </c>
      <c s="1852" t="s">
        <v>4225</v>
      </c>
      <c s="1852" t="s">
        <v>2286</v>
      </c>
      <c s="1852" t="s">
        <v>22</v>
      </c>
      <c s="1852" t="s">
        <v>22</v>
      </c>
      <c s="1852" t="s">
        <v>907</v>
      </c>
    </row>
    <row r="1016" spans="1:9" ht="11.25" customHeight="1">
      <c r="A1016" s="1852" t="s">
        <v>2247</v>
      </c>
      <c s="1852" t="s">
        <v>16</v>
      </c>
      <c s="1852" t="s">
        <v>4226</v>
      </c>
      <c s="1852" t="s">
        <v>4227</v>
      </c>
      <c s="1852" t="s">
        <v>4228</v>
      </c>
      <c s="1852" t="s">
        <v>2403</v>
      </c>
      <c s="1852" t="s">
        <v>22</v>
      </c>
      <c s="1852" t="s">
        <v>22</v>
      </c>
      <c s="1852" t="s">
        <v>907</v>
      </c>
    </row>
    <row r="1017" spans="1:9" ht="11.25" customHeight="1">
      <c r="A1017" s="1852" t="s">
        <v>2247</v>
      </c>
      <c s="1852" t="s">
        <v>16</v>
      </c>
      <c s="1852" t="s">
        <v>2761</v>
      </c>
      <c s="1852" t="s">
        <v>2762</v>
      </c>
      <c s="1852" t="s">
        <v>2763</v>
      </c>
      <c s="1852" t="s">
        <v>2731</v>
      </c>
      <c s="1852" t="s">
        <v>2764</v>
      </c>
      <c s="1852" t="s">
        <v>22</v>
      </c>
      <c s="1852" t="s">
        <v>907</v>
      </c>
    </row>
    <row r="1018" spans="1:9" ht="11.25" customHeight="1">
      <c r="A1018" s="1852" t="s">
        <v>2247</v>
      </c>
      <c s="1852" t="s">
        <v>16</v>
      </c>
      <c s="1852" t="s">
        <v>2765</v>
      </c>
      <c s="1852" t="s">
        <v>2766</v>
      </c>
      <c s="1852" t="s">
        <v>2767</v>
      </c>
      <c s="1852" t="s">
        <v>2675</v>
      </c>
      <c s="1852" t="s">
        <v>2768</v>
      </c>
      <c s="1852" t="s">
        <v>22</v>
      </c>
      <c s="1852" t="s">
        <v>907</v>
      </c>
    </row>
    <row r="1019" spans="1:9" ht="11.25" customHeight="1">
      <c r="A1019" s="1852" t="s">
        <v>2247</v>
      </c>
      <c s="1852" t="s">
        <v>16</v>
      </c>
      <c s="1852" t="s">
        <v>4232</v>
      </c>
      <c s="1852" t="s">
        <v>4233</v>
      </c>
      <c s="1852" t="s">
        <v>4234</v>
      </c>
      <c s="1852" t="s">
        <v>2338</v>
      </c>
      <c s="1852" t="s">
        <v>4106</v>
      </c>
      <c s="1852" t="s">
        <v>22</v>
      </c>
      <c s="1852" t="s">
        <v>907</v>
      </c>
    </row>
    <row r="1020" spans="1:9" ht="11.25" customHeight="1">
      <c r="A1020" s="1852" t="s">
        <v>2247</v>
      </c>
      <c s="1852" t="s">
        <v>16</v>
      </c>
      <c s="1852" t="s">
        <v>4235</v>
      </c>
      <c s="1852" t="s">
        <v>4236</v>
      </c>
      <c s="1852" t="s">
        <v>4237</v>
      </c>
      <c s="1852" t="s">
        <v>3636</v>
      </c>
      <c s="1852" t="s">
        <v>4238</v>
      </c>
      <c s="1852" t="s">
        <v>22</v>
      </c>
      <c s="1852" t="s">
        <v>907</v>
      </c>
    </row>
    <row r="1021" spans="1:9" ht="11.25" customHeight="1">
      <c r="A1021" s="1852" t="s">
        <v>2247</v>
      </c>
      <c s="1852" t="s">
        <v>16</v>
      </c>
      <c s="1852" t="s">
        <v>2769</v>
      </c>
      <c s="1852" t="s">
        <v>2770</v>
      </c>
      <c s="1852" t="s">
        <v>2771</v>
      </c>
      <c s="1852" t="s">
        <v>2411</v>
      </c>
      <c s="1852" t="s">
        <v>22</v>
      </c>
      <c s="1852" t="s">
        <v>22</v>
      </c>
      <c s="1852" t="s">
        <v>907</v>
      </c>
    </row>
    <row r="1022" spans="1:9" ht="11.25" customHeight="1">
      <c r="A1022" s="1852" t="s">
        <v>2247</v>
      </c>
      <c s="1852" t="s">
        <v>16</v>
      </c>
      <c s="1852" t="s">
        <v>4243</v>
      </c>
      <c s="1852" t="s">
        <v>4244</v>
      </c>
      <c s="1852" t="s">
        <v>4245</v>
      </c>
      <c s="1852" t="s">
        <v>2253</v>
      </c>
      <c s="1852" t="s">
        <v>22</v>
      </c>
      <c s="1852" t="s">
        <v>22</v>
      </c>
      <c s="1852" t="s">
        <v>907</v>
      </c>
    </row>
    <row r="1023" spans="1:9" ht="11.25" customHeight="1">
      <c r="A1023" s="1852" t="s">
        <v>2247</v>
      </c>
      <c s="1852" t="s">
        <v>16</v>
      </c>
      <c s="1852" t="s">
        <v>4713</v>
      </c>
      <c s="1852" t="s">
        <v>4714</v>
      </c>
      <c s="1852" t="s">
        <v>4715</v>
      </c>
      <c s="1852" t="s">
        <v>2265</v>
      </c>
      <c s="1852" t="s">
        <v>4716</v>
      </c>
      <c s="1852" t="s">
        <v>22</v>
      </c>
      <c s="1852" t="s">
        <v>907</v>
      </c>
    </row>
    <row r="1024" spans="1:9" ht="11.25" customHeight="1">
      <c r="A1024" s="1852" t="s">
        <v>2247</v>
      </c>
      <c s="1852" t="s">
        <v>16</v>
      </c>
      <c s="1852" t="s">
        <v>4246</v>
      </c>
      <c s="1852" t="s">
        <v>4247</v>
      </c>
      <c s="1852" t="s">
        <v>4248</v>
      </c>
      <c s="1852" t="s">
        <v>2262</v>
      </c>
      <c s="1852" t="s">
        <v>22</v>
      </c>
      <c s="1852" t="s">
        <v>22</v>
      </c>
      <c s="1852" t="s">
        <v>907</v>
      </c>
    </row>
    <row r="1025" spans="1:9" ht="11.25" customHeight="1">
      <c r="A1025" s="1852" t="s">
        <v>2247</v>
      </c>
      <c s="1852" t="s">
        <v>16</v>
      </c>
      <c s="1852" t="s">
        <v>2775</v>
      </c>
      <c s="1852" t="s">
        <v>2776</v>
      </c>
      <c s="1852" t="s">
        <v>2777</v>
      </c>
      <c s="1852" t="s">
        <v>51</v>
      </c>
      <c s="1852" t="s">
        <v>2778</v>
      </c>
      <c s="1852" t="s">
        <v>22</v>
      </c>
      <c s="1852" t="s">
        <v>907</v>
      </c>
    </row>
    <row r="1026" spans="1:9" ht="11.25" customHeight="1">
      <c r="A1026" s="1852" t="s">
        <v>2247</v>
      </c>
      <c s="1852" t="s">
        <v>16</v>
      </c>
      <c s="1852" t="s">
        <v>2788</v>
      </c>
      <c s="1852" t="s">
        <v>2789</v>
      </c>
      <c s="1852" t="s">
        <v>2790</v>
      </c>
      <c s="1852" t="s">
        <v>2281</v>
      </c>
      <c s="1852" t="s">
        <v>22</v>
      </c>
      <c s="1852" t="s">
        <v>22</v>
      </c>
      <c s="1852" t="s">
        <v>907</v>
      </c>
    </row>
    <row r="1027" spans="1:9" ht="11.25" customHeight="1">
      <c r="A1027" s="1852" t="s">
        <v>2247</v>
      </c>
      <c s="1852" t="s">
        <v>16</v>
      </c>
      <c s="1852" t="s">
        <v>4257</v>
      </c>
      <c s="1852" t="s">
        <v>4258</v>
      </c>
      <c s="1852" t="s">
        <v>4259</v>
      </c>
      <c s="1852" t="s">
        <v>3194</v>
      </c>
      <c s="1852" t="s">
        <v>22</v>
      </c>
      <c s="1852" t="s">
        <v>22</v>
      </c>
      <c s="1852" t="s">
        <v>907</v>
      </c>
    </row>
    <row r="1028" spans="1:9" ht="11.25" customHeight="1">
      <c r="A1028" s="1852" t="s">
        <v>2247</v>
      </c>
      <c s="1852" t="s">
        <v>16</v>
      </c>
      <c s="1852" t="s">
        <v>4717</v>
      </c>
      <c s="1852" t="s">
        <v>4718</v>
      </c>
      <c s="1852" t="s">
        <v>4719</v>
      </c>
      <c s="1852" t="s">
        <v>2277</v>
      </c>
      <c s="1852" t="s">
        <v>22</v>
      </c>
      <c s="1852" t="s">
        <v>22</v>
      </c>
      <c s="1852" t="s">
        <v>907</v>
      </c>
    </row>
    <row r="1029" spans="1:9" ht="11.25" customHeight="1">
      <c r="A1029" s="1852" t="s">
        <v>2247</v>
      </c>
      <c s="1852" t="s">
        <v>16</v>
      </c>
      <c s="1852" t="s">
        <v>4260</v>
      </c>
      <c s="1852" t="s">
        <v>4261</v>
      </c>
      <c s="1852" t="s">
        <v>4262</v>
      </c>
      <c s="1852" t="s">
        <v>2286</v>
      </c>
      <c s="1852" t="s">
        <v>22</v>
      </c>
      <c s="1852" t="s">
        <v>22</v>
      </c>
      <c s="1852" t="s">
        <v>907</v>
      </c>
    </row>
    <row r="1030" spans="1:9" ht="11.25" customHeight="1">
      <c r="A1030" s="1852" t="s">
        <v>2247</v>
      </c>
      <c s="1852" t="s">
        <v>16</v>
      </c>
      <c s="1852" t="s">
        <v>4263</v>
      </c>
      <c s="1852" t="s">
        <v>4264</v>
      </c>
      <c s="1852" t="s">
        <v>4265</v>
      </c>
      <c s="1852" t="s">
        <v>2477</v>
      </c>
      <c s="1852" t="s">
        <v>4266</v>
      </c>
      <c s="1852" t="s">
        <v>22</v>
      </c>
      <c s="1852" t="s">
        <v>907</v>
      </c>
    </row>
    <row r="1031" spans="1:9" ht="11.25" customHeight="1">
      <c r="A1031" s="1852" t="s">
        <v>2247</v>
      </c>
      <c s="1852" t="s">
        <v>16</v>
      </c>
      <c s="1852" t="s">
        <v>2813</v>
      </c>
      <c s="1852" t="s">
        <v>2814</v>
      </c>
      <c s="1852" t="s">
        <v>2815</v>
      </c>
      <c s="1852" t="s">
        <v>2571</v>
      </c>
      <c s="1852" t="s">
        <v>2816</v>
      </c>
      <c s="1852" t="s">
        <v>22</v>
      </c>
      <c s="1852" t="s">
        <v>907</v>
      </c>
    </row>
    <row r="1032" spans="1:9" ht="11.25" customHeight="1">
      <c r="A1032" s="1852" t="s">
        <v>2247</v>
      </c>
      <c s="1852" t="s">
        <v>16</v>
      </c>
      <c s="1852" t="s">
        <v>4720</v>
      </c>
      <c s="1852" t="s">
        <v>4721</v>
      </c>
      <c s="1852" t="s">
        <v>4722</v>
      </c>
      <c s="1852" t="s">
        <v>2704</v>
      </c>
      <c s="1852" t="s">
        <v>3828</v>
      </c>
      <c s="1852" t="s">
        <v>22</v>
      </c>
      <c s="1852" t="s">
        <v>907</v>
      </c>
    </row>
    <row r="1033" spans="1:9" ht="11.25" customHeight="1">
      <c r="A1033" s="1852" t="s">
        <v>2247</v>
      </c>
      <c s="1852" t="s">
        <v>16</v>
      </c>
      <c s="1852" t="s">
        <v>4270</v>
      </c>
      <c s="1852" t="s">
        <v>4271</v>
      </c>
      <c s="1852" t="s">
        <v>4272</v>
      </c>
      <c s="1852" t="s">
        <v>2286</v>
      </c>
      <c s="1852" t="s">
        <v>22</v>
      </c>
      <c s="1852" t="s">
        <v>22</v>
      </c>
      <c s="1852" t="s">
        <v>907</v>
      </c>
    </row>
    <row r="1034" spans="1:9" ht="11.25" customHeight="1">
      <c r="A1034" s="1852" t="s">
        <v>2247</v>
      </c>
      <c s="1852" t="s">
        <v>16</v>
      </c>
      <c s="1852" t="s">
        <v>4723</v>
      </c>
      <c s="1852" t="s">
        <v>4724</v>
      </c>
      <c s="1852" t="s">
        <v>4725</v>
      </c>
      <c s="1852" t="s">
        <v>2286</v>
      </c>
      <c s="1852" t="s">
        <v>22</v>
      </c>
      <c s="1852" t="s">
        <v>22</v>
      </c>
      <c s="1852" t="s">
        <v>907</v>
      </c>
    </row>
    <row r="1035" spans="1:9" ht="11.25" customHeight="1">
      <c r="A1035" s="1852" t="s">
        <v>2247</v>
      </c>
      <c s="1852" t="s">
        <v>16</v>
      </c>
      <c s="1852" t="s">
        <v>4726</v>
      </c>
      <c s="1852" t="s">
        <v>4727</v>
      </c>
      <c s="1852" t="s">
        <v>4728</v>
      </c>
      <c s="1852" t="s">
        <v>3148</v>
      </c>
      <c s="1852" t="s">
        <v>22</v>
      </c>
      <c s="1852" t="s">
        <v>22</v>
      </c>
      <c s="1852" t="s">
        <v>907</v>
      </c>
    </row>
    <row r="1036" spans="1:9" ht="11.25" customHeight="1">
      <c r="A1036" s="1852" t="s">
        <v>2247</v>
      </c>
      <c s="1852" t="s">
        <v>16</v>
      </c>
      <c s="1852" t="s">
        <v>2840</v>
      </c>
      <c s="1852" t="s">
        <v>2841</v>
      </c>
      <c s="1852" t="s">
        <v>2842</v>
      </c>
      <c s="1852" t="s">
        <v>2648</v>
      </c>
      <c s="1852" t="s">
        <v>2843</v>
      </c>
      <c s="1852" t="s">
        <v>22</v>
      </c>
      <c s="1852" t="s">
        <v>907</v>
      </c>
    </row>
    <row r="1037" spans="1:9" ht="11.25" customHeight="1">
      <c r="A1037" s="1852" t="s">
        <v>2247</v>
      </c>
      <c s="1852" t="s">
        <v>16</v>
      </c>
      <c s="1852" t="s">
        <v>4729</v>
      </c>
      <c s="1852" t="s">
        <v>4730</v>
      </c>
      <c s="1852" t="s">
        <v>4731</v>
      </c>
      <c s="1852" t="s">
        <v>3148</v>
      </c>
      <c s="1852" t="s">
        <v>22</v>
      </c>
      <c s="1852" t="s">
        <v>22</v>
      </c>
      <c s="1852" t="s">
        <v>907</v>
      </c>
    </row>
    <row r="1038" spans="1:9" ht="11.25" customHeight="1">
      <c r="A1038" s="1852" t="s">
        <v>2247</v>
      </c>
      <c s="1852" t="s">
        <v>16</v>
      </c>
      <c s="1852" t="s">
        <v>4732</v>
      </c>
      <c s="1852" t="s">
        <v>4733</v>
      </c>
      <c s="1852" t="s">
        <v>4734</v>
      </c>
      <c s="1852" t="s">
        <v>3606</v>
      </c>
      <c s="1852" t="s">
        <v>4735</v>
      </c>
      <c s="1852" t="s">
        <v>22</v>
      </c>
      <c s="1852" t="s">
        <v>907</v>
      </c>
    </row>
    <row r="1039" spans="1:9" ht="11.25" customHeight="1">
      <c r="A1039" s="1852" t="s">
        <v>2247</v>
      </c>
      <c s="1852" t="s">
        <v>16</v>
      </c>
      <c s="1852" t="s">
        <v>4736</v>
      </c>
      <c s="1852" t="s">
        <v>4737</v>
      </c>
      <c s="1852" t="s">
        <v>4738</v>
      </c>
      <c s="1852" t="s">
        <v>2272</v>
      </c>
      <c s="1852" t="s">
        <v>22</v>
      </c>
      <c s="1852" t="s">
        <v>22</v>
      </c>
      <c s="1852" t="s">
        <v>907</v>
      </c>
    </row>
    <row r="1040" spans="1:9" ht="11.25" customHeight="1">
      <c r="A1040" s="1852" t="s">
        <v>2247</v>
      </c>
      <c s="1852" t="s">
        <v>16</v>
      </c>
      <c s="1852" t="s">
        <v>4277</v>
      </c>
      <c s="1852" t="s">
        <v>4278</v>
      </c>
      <c s="1852" t="s">
        <v>4279</v>
      </c>
      <c s="1852" t="s">
        <v>4280</v>
      </c>
      <c s="1852" t="s">
        <v>4281</v>
      </c>
      <c s="1852" t="s">
        <v>22</v>
      </c>
      <c s="1852" t="s">
        <v>907</v>
      </c>
    </row>
    <row r="1041" spans="1:9" ht="11.25" customHeight="1">
      <c r="A1041" s="1852" t="s">
        <v>2247</v>
      </c>
      <c s="1852" t="s">
        <v>16</v>
      </c>
      <c s="1852" t="s">
        <v>4286</v>
      </c>
      <c s="1852" t="s">
        <v>4287</v>
      </c>
      <c s="1852" t="s">
        <v>4288</v>
      </c>
      <c s="1852" t="s">
        <v>2659</v>
      </c>
      <c s="1852" t="s">
        <v>4289</v>
      </c>
      <c s="1852" t="s">
        <v>22</v>
      </c>
      <c s="1852" t="s">
        <v>907</v>
      </c>
    </row>
    <row r="1042" spans="1:9" ht="11.25" customHeight="1">
      <c r="A1042" s="1852" t="s">
        <v>2247</v>
      </c>
      <c s="1852" t="s">
        <v>16</v>
      </c>
      <c s="1852" t="s">
        <v>4739</v>
      </c>
      <c s="1852" t="s">
        <v>4740</v>
      </c>
      <c s="1852" t="s">
        <v>4741</v>
      </c>
      <c s="1852" t="s">
        <v>2259</v>
      </c>
      <c s="1852" t="s">
        <v>4742</v>
      </c>
      <c s="1852" t="s">
        <v>22</v>
      </c>
      <c s="1852" t="s">
        <v>907</v>
      </c>
    </row>
    <row r="1043" spans="1:9" ht="11.25" customHeight="1">
      <c r="A1043" s="1852" t="s">
        <v>2247</v>
      </c>
      <c s="1852" t="s">
        <v>16</v>
      </c>
      <c s="1852" t="s">
        <v>4743</v>
      </c>
      <c s="1852" t="s">
        <v>4744</v>
      </c>
      <c s="1852" t="s">
        <v>4745</v>
      </c>
      <c s="1852" t="s">
        <v>2988</v>
      </c>
      <c s="1852" t="s">
        <v>3320</v>
      </c>
      <c s="1852" t="s">
        <v>22</v>
      </c>
      <c s="1852" t="s">
        <v>907</v>
      </c>
    </row>
    <row r="1044" spans="1:9" ht="11.25" customHeight="1">
      <c r="A1044" s="1852" t="s">
        <v>2247</v>
      </c>
      <c s="1852" t="s">
        <v>16</v>
      </c>
      <c s="1852" t="s">
        <v>4746</v>
      </c>
      <c s="1852" t="s">
        <v>4747</v>
      </c>
      <c s="1852" t="s">
        <v>4748</v>
      </c>
      <c s="1852" t="s">
        <v>2584</v>
      </c>
      <c s="1852" t="s">
        <v>4749</v>
      </c>
      <c s="1852" t="s">
        <v>22</v>
      </c>
      <c s="1852" t="s">
        <v>907</v>
      </c>
    </row>
    <row r="1045" spans="1:9" ht="11.25" customHeight="1">
      <c r="A1045" s="1852" t="s">
        <v>2247</v>
      </c>
      <c s="1852" t="s">
        <v>16</v>
      </c>
      <c s="1852" t="s">
        <v>2872</v>
      </c>
      <c s="1852" t="s">
        <v>2873</v>
      </c>
      <c s="1852" t="s">
        <v>2874</v>
      </c>
      <c s="1852" t="s">
        <v>2659</v>
      </c>
      <c s="1852" t="s">
        <v>2875</v>
      </c>
      <c s="1852" t="s">
        <v>22</v>
      </c>
      <c s="1852" t="s">
        <v>907</v>
      </c>
    </row>
    <row r="1046" spans="1:9" ht="11.25" customHeight="1">
      <c r="A1046" s="1852" t="s">
        <v>2247</v>
      </c>
      <c s="1852" t="s">
        <v>16</v>
      </c>
      <c s="1852" t="s">
        <v>4750</v>
      </c>
      <c s="1852" t="s">
        <v>4751</v>
      </c>
      <c s="1852" t="s">
        <v>4752</v>
      </c>
      <c s="1852" t="s">
        <v>2277</v>
      </c>
      <c s="1852" t="s">
        <v>4753</v>
      </c>
      <c s="1852" t="s">
        <v>22</v>
      </c>
      <c s="1852" t="s">
        <v>907</v>
      </c>
    </row>
    <row r="1047" spans="1:9" ht="11.25" customHeight="1">
      <c r="A1047" s="1852" t="s">
        <v>2247</v>
      </c>
      <c s="1852" t="s">
        <v>16</v>
      </c>
      <c s="1852" t="s">
        <v>4754</v>
      </c>
      <c s="1852" t="s">
        <v>4755</v>
      </c>
      <c s="1852" t="s">
        <v>4756</v>
      </c>
      <c s="1852" t="s">
        <v>2467</v>
      </c>
      <c s="1852" t="s">
        <v>22</v>
      </c>
      <c s="1852" t="s">
        <v>22</v>
      </c>
      <c s="1852" t="s">
        <v>907</v>
      </c>
    </row>
    <row r="1048" spans="1:9" ht="11.25" customHeight="1">
      <c r="A1048" s="1852" t="s">
        <v>2247</v>
      </c>
      <c s="1852" t="s">
        <v>16</v>
      </c>
      <c s="1852" t="s">
        <v>4320</v>
      </c>
      <c s="1852" t="s">
        <v>4321</v>
      </c>
      <c s="1852" t="s">
        <v>4322</v>
      </c>
      <c s="1852" t="s">
        <v>2347</v>
      </c>
      <c s="1852" t="s">
        <v>4323</v>
      </c>
      <c s="1852" t="s">
        <v>22</v>
      </c>
      <c s="1852" t="s">
        <v>907</v>
      </c>
    </row>
    <row r="1049" spans="1:9" ht="11.25" customHeight="1">
      <c r="A1049" s="1852" t="s">
        <v>2247</v>
      </c>
      <c s="1852" t="s">
        <v>16</v>
      </c>
      <c s="1852" t="s">
        <v>4324</v>
      </c>
      <c s="1852" t="s">
        <v>4325</v>
      </c>
      <c s="1852" t="s">
        <v>4326</v>
      </c>
      <c s="1852" t="s">
        <v>3148</v>
      </c>
      <c s="1852" t="s">
        <v>22</v>
      </c>
      <c s="1852" t="s">
        <v>22</v>
      </c>
      <c s="1852" t="s">
        <v>907</v>
      </c>
    </row>
    <row r="1050" spans="1:9" ht="11.25" customHeight="1">
      <c r="A1050" s="1852" t="s">
        <v>2247</v>
      </c>
      <c s="1852" t="s">
        <v>16</v>
      </c>
      <c s="1852" t="s">
        <v>4327</v>
      </c>
      <c s="1852" t="s">
        <v>4328</v>
      </c>
      <c s="1852" t="s">
        <v>4329</v>
      </c>
      <c s="1852" t="s">
        <v>3210</v>
      </c>
      <c s="1852" t="s">
        <v>4330</v>
      </c>
      <c s="1852" t="s">
        <v>22</v>
      </c>
      <c s="1852" t="s">
        <v>907</v>
      </c>
    </row>
    <row r="1051" spans="1:9" ht="11.25" customHeight="1">
      <c r="A1051" s="1852" t="s">
        <v>2247</v>
      </c>
      <c s="1852" t="s">
        <v>16</v>
      </c>
      <c s="1852" t="s">
        <v>4335</v>
      </c>
      <c s="1852" t="s">
        <v>4332</v>
      </c>
      <c s="1852" t="s">
        <v>4336</v>
      </c>
      <c s="1852" t="s">
        <v>3194</v>
      </c>
      <c s="1852" t="s">
        <v>22</v>
      </c>
      <c s="1852" t="s">
        <v>22</v>
      </c>
      <c s="1852" t="s">
        <v>907</v>
      </c>
    </row>
    <row r="1052" spans="1:9" ht="11.25" customHeight="1">
      <c r="A1052" s="1852" t="s">
        <v>2247</v>
      </c>
      <c s="1852" t="s">
        <v>16</v>
      </c>
      <c s="1852" t="s">
        <v>4757</v>
      </c>
      <c s="1852" t="s">
        <v>4758</v>
      </c>
      <c s="1852" t="s">
        <v>4759</v>
      </c>
      <c s="1852" t="s">
        <v>4285</v>
      </c>
      <c s="1852" t="s">
        <v>4347</v>
      </c>
      <c s="1852" t="s">
        <v>22</v>
      </c>
      <c s="1852" t="s">
        <v>907</v>
      </c>
    </row>
    <row r="1053" spans="1:9" ht="11.25" customHeight="1">
      <c r="A1053" s="1852" t="s">
        <v>2247</v>
      </c>
      <c s="1852" t="s">
        <v>16</v>
      </c>
      <c s="1852" t="s">
        <v>4760</v>
      </c>
      <c s="1852" t="s">
        <v>4758</v>
      </c>
      <c s="1852" t="s">
        <v>4761</v>
      </c>
      <c s="1852" t="s">
        <v>2620</v>
      </c>
      <c s="1852" t="s">
        <v>4339</v>
      </c>
      <c s="1852" t="s">
        <v>22</v>
      </c>
      <c s="1852" t="s">
        <v>907</v>
      </c>
    </row>
    <row r="1054" spans="1:9" ht="11.25" customHeight="1">
      <c r="A1054" s="1852" t="s">
        <v>2247</v>
      </c>
      <c s="1852" t="s">
        <v>16</v>
      </c>
      <c s="1852" t="s">
        <v>4348</v>
      </c>
      <c s="1852" t="s">
        <v>4349</v>
      </c>
      <c s="1852" t="s">
        <v>4350</v>
      </c>
      <c s="1852" t="s">
        <v>4285</v>
      </c>
      <c s="1852" t="s">
        <v>22</v>
      </c>
      <c s="1852" t="s">
        <v>22</v>
      </c>
      <c s="1852" t="s">
        <v>907</v>
      </c>
    </row>
    <row r="1055" spans="1:9" ht="11.25" customHeight="1">
      <c r="A1055" s="1852" t="s">
        <v>2247</v>
      </c>
      <c s="1852" t="s">
        <v>16</v>
      </c>
      <c s="1852" t="s">
        <v>4359</v>
      </c>
      <c s="1852" t="s">
        <v>4360</v>
      </c>
      <c s="1852" t="s">
        <v>4361</v>
      </c>
      <c s="1852" t="s">
        <v>3401</v>
      </c>
      <c s="1852" t="s">
        <v>22</v>
      </c>
      <c s="1852" t="s">
        <v>22</v>
      </c>
      <c s="1852" t="s">
        <v>907</v>
      </c>
    </row>
    <row r="1056" spans="1:9" ht="11.25" customHeight="1">
      <c r="A1056" s="1852" t="s">
        <v>2247</v>
      </c>
      <c s="1852" t="s">
        <v>16</v>
      </c>
      <c s="1852" t="s">
        <v>4762</v>
      </c>
      <c s="1852" t="s">
        <v>4763</v>
      </c>
      <c s="1852" t="s">
        <v>4764</v>
      </c>
      <c s="1852" t="s">
        <v>4765</v>
      </c>
      <c s="1852" t="s">
        <v>4766</v>
      </c>
      <c s="1852" t="s">
        <v>22</v>
      </c>
      <c s="1852" t="s">
        <v>907</v>
      </c>
    </row>
    <row r="1057" spans="1:9" ht="11.25" customHeight="1">
      <c r="A1057" s="1852" t="s">
        <v>2247</v>
      </c>
      <c s="1852" t="s">
        <v>16</v>
      </c>
      <c s="1852" t="s">
        <v>4767</v>
      </c>
      <c s="1852" t="s">
        <v>4768</v>
      </c>
      <c s="1852" t="s">
        <v>4769</v>
      </c>
      <c s="1852" t="s">
        <v>2826</v>
      </c>
      <c s="1852" t="s">
        <v>22</v>
      </c>
      <c s="1852" t="s">
        <v>22</v>
      </c>
      <c s="1852" t="s">
        <v>907</v>
      </c>
    </row>
    <row r="1058" spans="1:9" ht="11.25" customHeight="1">
      <c r="A1058" s="1852" t="s">
        <v>2247</v>
      </c>
      <c s="1852" t="s">
        <v>16</v>
      </c>
      <c s="1852" t="s">
        <v>4370</v>
      </c>
      <c s="1852" t="s">
        <v>4371</v>
      </c>
      <c s="1852" t="s">
        <v>4372</v>
      </c>
      <c s="1852" t="s">
        <v>2826</v>
      </c>
      <c s="1852" t="s">
        <v>4373</v>
      </c>
      <c s="1852" t="s">
        <v>22</v>
      </c>
      <c s="1852" t="s">
        <v>907</v>
      </c>
    </row>
    <row r="1059" spans="1:9" ht="11.25" customHeight="1">
      <c r="A1059" s="1852" t="s">
        <v>2247</v>
      </c>
      <c s="1852" t="s">
        <v>16</v>
      </c>
      <c s="1852" t="s">
        <v>4377</v>
      </c>
      <c s="1852" t="s">
        <v>4378</v>
      </c>
      <c s="1852" t="s">
        <v>4379</v>
      </c>
      <c s="1852" t="s">
        <v>2727</v>
      </c>
      <c s="1852" t="s">
        <v>22</v>
      </c>
      <c s="1852" t="s">
        <v>22</v>
      </c>
      <c s="1852" t="s">
        <v>907</v>
      </c>
    </row>
    <row r="1060" spans="1:9" ht="11.25" customHeight="1">
      <c r="A1060" s="1852" t="s">
        <v>2247</v>
      </c>
      <c s="1852" t="s">
        <v>16</v>
      </c>
      <c s="1852" t="s">
        <v>4770</v>
      </c>
      <c s="1852" t="s">
        <v>4771</v>
      </c>
      <c s="1852" t="s">
        <v>4772</v>
      </c>
      <c s="1852" t="s">
        <v>2648</v>
      </c>
      <c s="1852" t="s">
        <v>4773</v>
      </c>
      <c s="1852" t="s">
        <v>22</v>
      </c>
      <c s="1852" t="s">
        <v>907</v>
      </c>
    </row>
    <row r="1061" spans="1:9" ht="11.25" customHeight="1">
      <c r="A1061" s="1852" t="s">
        <v>2247</v>
      </c>
      <c s="1852" t="s">
        <v>16</v>
      </c>
      <c s="1852" t="s">
        <v>4380</v>
      </c>
      <c s="1852" t="s">
        <v>4381</v>
      </c>
      <c s="1852" t="s">
        <v>4382</v>
      </c>
      <c s="1852" t="s">
        <v>2699</v>
      </c>
      <c s="1852" t="s">
        <v>4383</v>
      </c>
      <c s="1852" t="s">
        <v>22</v>
      </c>
      <c s="1852" t="s">
        <v>907</v>
      </c>
    </row>
    <row r="1062" spans="1:9" ht="11.25" customHeight="1">
      <c r="A1062" s="1852" t="s">
        <v>2247</v>
      </c>
      <c s="1852" t="s">
        <v>16</v>
      </c>
      <c s="1852" t="s">
        <v>4384</v>
      </c>
      <c s="1852" t="s">
        <v>4385</v>
      </c>
      <c s="1852" t="s">
        <v>4386</v>
      </c>
      <c s="1852" t="s">
        <v>2343</v>
      </c>
      <c s="1852" t="s">
        <v>4387</v>
      </c>
      <c s="1852" t="s">
        <v>22</v>
      </c>
      <c s="1852" t="s">
        <v>907</v>
      </c>
    </row>
    <row r="1063" spans="1:9" ht="11.25" customHeight="1">
      <c r="A1063" s="1852" t="s">
        <v>2247</v>
      </c>
      <c s="1852" t="s">
        <v>16</v>
      </c>
      <c s="1852" t="s">
        <v>4388</v>
      </c>
      <c s="1852" t="s">
        <v>4389</v>
      </c>
      <c s="1852" t="s">
        <v>4390</v>
      </c>
      <c s="1852" t="s">
        <v>2699</v>
      </c>
      <c s="1852" t="s">
        <v>4383</v>
      </c>
      <c s="1852" t="s">
        <v>22</v>
      </c>
      <c s="1852" t="s">
        <v>907</v>
      </c>
    </row>
    <row r="1064" spans="1:9" ht="11.25" customHeight="1">
      <c r="A1064" s="1852" t="s">
        <v>2247</v>
      </c>
      <c s="1852" t="s">
        <v>16</v>
      </c>
      <c s="1852" t="s">
        <v>4397</v>
      </c>
      <c s="1852" t="s">
        <v>4398</v>
      </c>
      <c s="1852" t="s">
        <v>4399</v>
      </c>
      <c s="1852" t="s">
        <v>51</v>
      </c>
      <c s="1852" t="s">
        <v>4400</v>
      </c>
      <c s="1852" t="s">
        <v>22</v>
      </c>
      <c s="1852" t="s">
        <v>907</v>
      </c>
    </row>
    <row r="1065" spans="1:9" ht="11.25" customHeight="1">
      <c r="A1065" s="1852" t="s">
        <v>2247</v>
      </c>
      <c s="1852" t="s">
        <v>16</v>
      </c>
      <c s="1852" t="s">
        <v>4401</v>
      </c>
      <c s="1852" t="s">
        <v>4402</v>
      </c>
      <c s="1852" t="s">
        <v>4403</v>
      </c>
      <c s="1852" t="s">
        <v>51</v>
      </c>
      <c s="1852" t="s">
        <v>22</v>
      </c>
      <c s="1852" t="s">
        <v>22</v>
      </c>
      <c s="1852" t="s">
        <v>907</v>
      </c>
    </row>
    <row r="1066" spans="1:9" ht="11.25" customHeight="1">
      <c r="A1066" s="1852" t="s">
        <v>2247</v>
      </c>
      <c s="1852" t="s">
        <v>16</v>
      </c>
      <c s="1852" t="s">
        <v>4404</v>
      </c>
      <c s="1852" t="s">
        <v>4405</v>
      </c>
      <c s="1852" t="s">
        <v>4406</v>
      </c>
      <c s="1852" t="s">
        <v>51</v>
      </c>
      <c s="1852" t="s">
        <v>4407</v>
      </c>
      <c s="1852" t="s">
        <v>22</v>
      </c>
      <c s="1852" t="s">
        <v>907</v>
      </c>
    </row>
    <row r="1067" spans="1:9" ht="11.25" customHeight="1">
      <c r="A1067" s="1852" t="s">
        <v>2247</v>
      </c>
      <c s="1852" t="s">
        <v>16</v>
      </c>
      <c s="1852" t="s">
        <v>4774</v>
      </c>
      <c s="1852" t="s">
        <v>4775</v>
      </c>
      <c s="1852" t="s">
        <v>4776</v>
      </c>
      <c s="1852" t="s">
        <v>2620</v>
      </c>
      <c s="1852" t="s">
        <v>3849</v>
      </c>
      <c s="1852" t="s">
        <v>22</v>
      </c>
      <c s="1852" t="s">
        <v>907</v>
      </c>
    </row>
    <row r="1068" spans="1:9" ht="11.25" customHeight="1">
      <c r="A1068" s="1852" t="s">
        <v>2247</v>
      </c>
      <c s="1852" t="s">
        <v>16</v>
      </c>
      <c s="1852" t="s">
        <v>4408</v>
      </c>
      <c s="1852" t="s">
        <v>4409</v>
      </c>
      <c s="1852" t="s">
        <v>4403</v>
      </c>
      <c s="1852" t="s">
        <v>2826</v>
      </c>
      <c s="1852" t="s">
        <v>4410</v>
      </c>
      <c s="1852" t="s">
        <v>22</v>
      </c>
      <c s="1852" t="s">
        <v>907</v>
      </c>
    </row>
    <row r="1069" spans="1:9" ht="11.25" customHeight="1">
      <c r="A1069" s="1852" t="s">
        <v>2247</v>
      </c>
      <c s="1852" t="s">
        <v>16</v>
      </c>
      <c s="1852" t="s">
        <v>4411</v>
      </c>
      <c s="1852" t="s">
        <v>4412</v>
      </c>
      <c s="1852" t="s">
        <v>4413</v>
      </c>
      <c s="1852" t="s">
        <v>2851</v>
      </c>
      <c s="1852" t="s">
        <v>4414</v>
      </c>
      <c s="1852" t="s">
        <v>22</v>
      </c>
      <c s="1852" t="s">
        <v>907</v>
      </c>
    </row>
    <row r="1070" spans="1:9" ht="11.25" customHeight="1">
      <c r="A1070" s="1852" t="s">
        <v>2247</v>
      </c>
      <c s="1852" t="s">
        <v>16</v>
      </c>
      <c s="1852" t="s">
        <v>4415</v>
      </c>
      <c s="1852" t="s">
        <v>4412</v>
      </c>
      <c s="1852" t="s">
        <v>4416</v>
      </c>
      <c s="1852" t="s">
        <v>2620</v>
      </c>
      <c s="1852" t="s">
        <v>22</v>
      </c>
      <c s="1852" t="s">
        <v>22</v>
      </c>
      <c s="1852" t="s">
        <v>907</v>
      </c>
    </row>
    <row r="1071" spans="1:9" ht="11.25" customHeight="1">
      <c r="A1071" s="1852" t="s">
        <v>2247</v>
      </c>
      <c s="1852" t="s">
        <v>16</v>
      </c>
      <c s="1852" t="s">
        <v>4777</v>
      </c>
      <c s="1852" t="s">
        <v>4418</v>
      </c>
      <c s="1852" t="s">
        <v>4778</v>
      </c>
      <c s="1852" t="s">
        <v>2760</v>
      </c>
      <c s="1852" t="s">
        <v>4779</v>
      </c>
      <c s="1852" t="s">
        <v>22</v>
      </c>
      <c s="1852" t="s">
        <v>907</v>
      </c>
    </row>
    <row r="1072" spans="1:9" ht="11.25" customHeight="1">
      <c r="A1072" s="1852" t="s">
        <v>2247</v>
      </c>
      <c s="1852" t="s">
        <v>16</v>
      </c>
      <c s="1852" t="s">
        <v>4421</v>
      </c>
      <c s="1852" t="s">
        <v>4418</v>
      </c>
      <c s="1852" t="s">
        <v>4422</v>
      </c>
      <c s="1852" t="s">
        <v>2727</v>
      </c>
      <c s="1852" t="s">
        <v>4423</v>
      </c>
      <c s="1852" t="s">
        <v>22</v>
      </c>
      <c s="1852" t="s">
        <v>907</v>
      </c>
    </row>
    <row r="1073" spans="1:9" ht="11.25" customHeight="1">
      <c r="A1073" s="1852" t="s">
        <v>2247</v>
      </c>
      <c s="1852" t="s">
        <v>16</v>
      </c>
      <c s="1852" t="s">
        <v>4424</v>
      </c>
      <c s="1852" t="s">
        <v>4425</v>
      </c>
      <c s="1852" t="s">
        <v>4426</v>
      </c>
      <c s="1852" t="s">
        <v>2286</v>
      </c>
      <c s="1852" t="s">
        <v>22</v>
      </c>
      <c s="1852" t="s">
        <v>22</v>
      </c>
      <c s="1852" t="s">
        <v>907</v>
      </c>
    </row>
    <row r="1074" spans="1:9" ht="11.25" customHeight="1">
      <c r="A1074" s="1852" t="s">
        <v>2247</v>
      </c>
      <c s="1852" t="s">
        <v>16</v>
      </c>
      <c s="1852" t="s">
        <v>4427</v>
      </c>
      <c s="1852" t="s">
        <v>4428</v>
      </c>
      <c s="1852" t="s">
        <v>4429</v>
      </c>
      <c s="1852" t="s">
        <v>2262</v>
      </c>
      <c s="1852" t="s">
        <v>4430</v>
      </c>
      <c s="1852" t="s">
        <v>22</v>
      </c>
      <c s="1852" t="s">
        <v>907</v>
      </c>
    </row>
    <row r="1075" spans="1:9" ht="11.25" customHeight="1">
      <c r="A1075" s="1852" t="s">
        <v>2247</v>
      </c>
      <c s="1852" t="s">
        <v>16</v>
      </c>
      <c s="1852" t="s">
        <v>4431</v>
      </c>
      <c s="1852" t="s">
        <v>4432</v>
      </c>
      <c s="1852" t="s">
        <v>4433</v>
      </c>
      <c s="1852" t="s">
        <v>51</v>
      </c>
      <c s="1852" t="s">
        <v>4434</v>
      </c>
      <c s="1852" t="s">
        <v>22</v>
      </c>
      <c s="1852" t="s">
        <v>907</v>
      </c>
    </row>
    <row r="1076" spans="1:9" ht="11.25" customHeight="1">
      <c r="A1076" s="1852" t="s">
        <v>2247</v>
      </c>
      <c s="1852" t="s">
        <v>16</v>
      </c>
      <c s="1852" t="s">
        <v>4780</v>
      </c>
      <c s="1852" t="s">
        <v>4781</v>
      </c>
      <c s="1852" t="s">
        <v>4782</v>
      </c>
      <c s="1852" t="s">
        <v>3210</v>
      </c>
      <c s="1852" t="s">
        <v>22</v>
      </c>
      <c s="1852" t="s">
        <v>22</v>
      </c>
      <c s="1852" t="s">
        <v>907</v>
      </c>
    </row>
    <row r="1077" spans="1:9" ht="11.25" customHeight="1">
      <c r="A1077" s="1852" t="s">
        <v>2247</v>
      </c>
      <c s="1852" t="s">
        <v>16</v>
      </c>
      <c s="1852" t="s">
        <v>4439</v>
      </c>
      <c s="1852" t="s">
        <v>4440</v>
      </c>
      <c s="1852" t="s">
        <v>4441</v>
      </c>
      <c s="1852" t="s">
        <v>2699</v>
      </c>
      <c s="1852" t="s">
        <v>4442</v>
      </c>
      <c s="1852" t="s">
        <v>22</v>
      </c>
      <c s="1852" t="s">
        <v>907</v>
      </c>
    </row>
    <row r="1078" spans="1:9" ht="11.25" customHeight="1">
      <c r="A1078" s="1852" t="s">
        <v>2247</v>
      </c>
      <c s="1852" t="s">
        <v>16</v>
      </c>
      <c s="1852" t="s">
        <v>2969</v>
      </c>
      <c s="1852" t="s">
        <v>2970</v>
      </c>
      <c s="1852" t="s">
        <v>2971</v>
      </c>
      <c s="1852" t="s">
        <v>2277</v>
      </c>
      <c s="1852" t="s">
        <v>2972</v>
      </c>
      <c s="1852" t="s">
        <v>22</v>
      </c>
      <c s="1852" t="s">
        <v>907</v>
      </c>
    </row>
    <row r="1079" spans="1:9" ht="11.25" customHeight="1">
      <c r="A1079" s="1852" t="s">
        <v>2247</v>
      </c>
      <c s="1852" t="s">
        <v>16</v>
      </c>
      <c s="1852" t="s">
        <v>2981</v>
      </c>
      <c s="1852" t="s">
        <v>2982</v>
      </c>
      <c s="1852" t="s">
        <v>2983</v>
      </c>
      <c s="1852" t="s">
        <v>2272</v>
      </c>
      <c s="1852" t="s">
        <v>2984</v>
      </c>
      <c s="1852" t="s">
        <v>22</v>
      </c>
      <c s="1852" t="s">
        <v>907</v>
      </c>
    </row>
    <row r="1080" spans="1:9" ht="11.25" customHeight="1">
      <c r="A1080" s="1852" t="s">
        <v>2247</v>
      </c>
      <c s="1852" t="s">
        <v>16</v>
      </c>
      <c s="1852" t="s">
        <v>4463</v>
      </c>
      <c s="1852" t="s">
        <v>4464</v>
      </c>
      <c s="1852" t="s">
        <v>4465</v>
      </c>
      <c s="1852" t="s">
        <v>2347</v>
      </c>
      <c s="1852" t="s">
        <v>4466</v>
      </c>
      <c s="1852" t="s">
        <v>22</v>
      </c>
      <c s="1852" t="s">
        <v>907</v>
      </c>
    </row>
    <row r="1081" spans="1:9" ht="11.25" customHeight="1">
      <c r="A1081" s="1852" t="s">
        <v>2247</v>
      </c>
      <c s="1852" t="s">
        <v>16</v>
      </c>
      <c s="1852" t="s">
        <v>4783</v>
      </c>
      <c s="1852" t="s">
        <v>4784</v>
      </c>
      <c s="1852" t="s">
        <v>4785</v>
      </c>
      <c s="1852" t="s">
        <v>4786</v>
      </c>
      <c s="1852" t="s">
        <v>4787</v>
      </c>
      <c s="1852" t="s">
        <v>22</v>
      </c>
      <c s="1852" t="s">
        <v>907</v>
      </c>
    </row>
    <row r="1082" spans="1:9" ht="11.25" customHeight="1">
      <c r="A1082" s="1852" t="s">
        <v>2247</v>
      </c>
      <c s="1852" t="s">
        <v>16</v>
      </c>
      <c s="1852" t="s">
        <v>4472</v>
      </c>
      <c s="1852" t="s">
        <v>4473</v>
      </c>
      <c s="1852" t="s">
        <v>4474</v>
      </c>
      <c s="1852" t="s">
        <v>51</v>
      </c>
      <c s="1852" t="s">
        <v>4475</v>
      </c>
      <c s="1852" t="s">
        <v>22</v>
      </c>
      <c s="1852" t="s">
        <v>907</v>
      </c>
    </row>
    <row r="1083" spans="1:9" ht="11.25" customHeight="1">
      <c r="A1083" s="1852" t="s">
        <v>2247</v>
      </c>
      <c s="1852" t="s">
        <v>16</v>
      </c>
      <c s="1852" t="s">
        <v>4476</v>
      </c>
      <c s="1852" t="s">
        <v>4477</v>
      </c>
      <c s="1852" t="s">
        <v>4478</v>
      </c>
      <c s="1852" t="s">
        <v>2604</v>
      </c>
      <c s="1852" t="s">
        <v>4479</v>
      </c>
      <c s="1852" t="s">
        <v>22</v>
      </c>
      <c s="1852" t="s">
        <v>907</v>
      </c>
    </row>
    <row r="1084" spans="1:9" ht="11.25" customHeight="1">
      <c r="A1084" s="1852" t="s">
        <v>2247</v>
      </c>
      <c s="1852" t="s">
        <v>16</v>
      </c>
      <c s="1852" t="s">
        <v>4788</v>
      </c>
      <c s="1852" t="s">
        <v>4789</v>
      </c>
      <c s="1852" t="s">
        <v>4790</v>
      </c>
      <c s="1852" t="s">
        <v>2277</v>
      </c>
      <c s="1852" t="s">
        <v>4791</v>
      </c>
      <c s="1852" t="s">
        <v>22</v>
      </c>
      <c s="1852" t="s">
        <v>907</v>
      </c>
    </row>
    <row r="1085" spans="1:9" ht="11.25" customHeight="1">
      <c r="A1085" s="1852" t="s">
        <v>2247</v>
      </c>
      <c s="1852" t="s">
        <v>16</v>
      </c>
      <c s="1852" t="s">
        <v>4480</v>
      </c>
      <c s="1852" t="s">
        <v>4481</v>
      </c>
      <c s="1852" t="s">
        <v>4482</v>
      </c>
      <c s="1852" t="s">
        <v>2272</v>
      </c>
      <c s="1852" t="s">
        <v>4483</v>
      </c>
      <c s="1852" t="s">
        <v>22</v>
      </c>
      <c s="1852" t="s">
        <v>907</v>
      </c>
    </row>
    <row r="1086" spans="1:9" ht="11.25" customHeight="1">
      <c r="A1086" s="1852" t="s">
        <v>2247</v>
      </c>
      <c s="1852" t="s">
        <v>16</v>
      </c>
      <c s="1852" t="s">
        <v>4491</v>
      </c>
      <c s="1852" t="s">
        <v>4492</v>
      </c>
      <c s="1852" t="s">
        <v>4493</v>
      </c>
      <c s="1852" t="s">
        <v>2636</v>
      </c>
      <c s="1852" t="s">
        <v>22</v>
      </c>
      <c s="1852" t="s">
        <v>22</v>
      </c>
      <c s="1852" t="s">
        <v>907</v>
      </c>
    </row>
    <row r="1087" spans="1:9" ht="11.25" customHeight="1">
      <c r="A1087" s="1852" t="s">
        <v>2247</v>
      </c>
      <c s="1852" t="s">
        <v>16</v>
      </c>
      <c s="1852" t="s">
        <v>3071</v>
      </c>
      <c s="1852" t="s">
        <v>3072</v>
      </c>
      <c s="1852" t="s">
        <v>3073</v>
      </c>
      <c s="1852" t="s">
        <v>2411</v>
      </c>
      <c s="1852" t="s">
        <v>3074</v>
      </c>
      <c s="1852" t="s">
        <v>22</v>
      </c>
      <c s="1852" t="s">
        <v>907</v>
      </c>
    </row>
    <row r="1088" spans="1:9" ht="11.25" customHeight="1">
      <c r="A1088" s="1852" t="s">
        <v>2247</v>
      </c>
      <c s="1852" t="s">
        <v>16</v>
      </c>
      <c s="1852" t="s">
        <v>4498</v>
      </c>
      <c s="1852" t="s">
        <v>4499</v>
      </c>
      <c s="1852" t="s">
        <v>4500</v>
      </c>
      <c s="1852" t="s">
        <v>2272</v>
      </c>
      <c s="1852" t="s">
        <v>4501</v>
      </c>
      <c s="1852" t="s">
        <v>22</v>
      </c>
      <c s="1852" t="s">
        <v>907</v>
      </c>
    </row>
    <row r="1089" spans="1:9" ht="11.25" customHeight="1">
      <c r="A1089" s="1852" t="s">
        <v>2247</v>
      </c>
      <c s="1852" t="s">
        <v>16</v>
      </c>
      <c s="1852" t="s">
        <v>4502</v>
      </c>
      <c s="1852" t="s">
        <v>4503</v>
      </c>
      <c s="1852" t="s">
        <v>4504</v>
      </c>
      <c s="1852" t="s">
        <v>2659</v>
      </c>
      <c s="1852" t="s">
        <v>22</v>
      </c>
      <c s="1852" t="s">
        <v>22</v>
      </c>
      <c s="1852" t="s">
        <v>907</v>
      </c>
    </row>
    <row r="1090" spans="1:9" ht="11.25" customHeight="1">
      <c r="A1090" s="1852" t="s">
        <v>2247</v>
      </c>
      <c s="1852" t="s">
        <v>16</v>
      </c>
      <c s="1852" t="s">
        <v>4509</v>
      </c>
      <c s="1852" t="s">
        <v>4510</v>
      </c>
      <c s="1852" t="s">
        <v>4511</v>
      </c>
      <c s="1852" t="s">
        <v>4512</v>
      </c>
      <c s="1852" t="s">
        <v>4513</v>
      </c>
      <c s="1852" t="s">
        <v>22</v>
      </c>
      <c s="1852" t="s">
        <v>907</v>
      </c>
    </row>
    <row r="1091" spans="1:9" ht="11.25" customHeight="1">
      <c r="A1091" s="1852" t="s">
        <v>2247</v>
      </c>
      <c s="1852" t="s">
        <v>16</v>
      </c>
      <c s="1852" t="s">
        <v>4792</v>
      </c>
      <c s="1852" t="s">
        <v>4793</v>
      </c>
      <c s="1852" t="s">
        <v>4794</v>
      </c>
      <c s="1852" t="s">
        <v>2259</v>
      </c>
      <c s="1852" t="s">
        <v>3418</v>
      </c>
      <c s="1852" t="s">
        <v>22</v>
      </c>
      <c s="1852" t="s">
        <v>907</v>
      </c>
    </row>
    <row r="1092" spans="1:9" ht="11.25" customHeight="1">
      <c r="A1092" s="1852" t="s">
        <v>2247</v>
      </c>
      <c s="1852" t="s">
        <v>16</v>
      </c>
      <c s="1852" t="s">
        <v>4514</v>
      </c>
      <c s="1852" t="s">
        <v>4515</v>
      </c>
      <c s="1852" t="s">
        <v>4516</v>
      </c>
      <c s="1852" t="s">
        <v>2659</v>
      </c>
      <c s="1852" t="s">
        <v>4517</v>
      </c>
      <c s="1852" t="s">
        <v>22</v>
      </c>
      <c s="1852" t="s">
        <v>907</v>
      </c>
    </row>
    <row r="1093" spans="1:9" ht="11.25" customHeight="1">
      <c r="A1093" s="1852" t="s">
        <v>2247</v>
      </c>
      <c s="1852" t="s">
        <v>16</v>
      </c>
      <c s="1852" t="s">
        <v>3107</v>
      </c>
      <c s="1852" t="s">
        <v>3108</v>
      </c>
      <c s="1852" t="s">
        <v>3109</v>
      </c>
      <c s="1852" t="s">
        <v>2256</v>
      </c>
      <c s="1852" t="s">
        <v>3110</v>
      </c>
      <c s="1852" t="s">
        <v>22</v>
      </c>
      <c s="1852" t="s">
        <v>907</v>
      </c>
    </row>
    <row r="1094" spans="1:9" ht="11.25" customHeight="1">
      <c r="A1094" s="1852" t="s">
        <v>2247</v>
      </c>
      <c s="1852" t="s">
        <v>16</v>
      </c>
      <c s="1852" t="s">
        <v>4518</v>
      </c>
      <c s="1852" t="s">
        <v>4519</v>
      </c>
      <c s="1852" t="s">
        <v>4520</v>
      </c>
      <c s="1852" t="s">
        <v>4521</v>
      </c>
      <c s="1852" t="s">
        <v>4522</v>
      </c>
      <c s="1852" t="s">
        <v>22</v>
      </c>
      <c s="1852" t="s">
        <v>907</v>
      </c>
    </row>
    <row r="1095" spans="1:9" ht="11.25" customHeight="1">
      <c r="A1095" s="1852" t="s">
        <v>2247</v>
      </c>
      <c s="1852" t="s">
        <v>16</v>
      </c>
      <c s="1852" t="s">
        <v>4523</v>
      </c>
      <c s="1852" t="s">
        <v>4524</v>
      </c>
      <c s="1852" t="s">
        <v>4525</v>
      </c>
      <c s="1852" t="s">
        <v>2265</v>
      </c>
      <c s="1852" t="s">
        <v>22</v>
      </c>
      <c s="1852" t="s">
        <v>22</v>
      </c>
      <c s="1852" t="s">
        <v>907</v>
      </c>
    </row>
    <row r="1096" spans="1:9" ht="11.25" customHeight="1">
      <c r="A1096" s="1852" t="s">
        <v>2247</v>
      </c>
      <c s="1852" t="s">
        <v>16</v>
      </c>
      <c s="1852" t="s">
        <v>4795</v>
      </c>
      <c s="1852" t="s">
        <v>4796</v>
      </c>
      <c s="1852" t="s">
        <v>4797</v>
      </c>
      <c s="1852" t="s">
        <v>2259</v>
      </c>
      <c s="1852" t="s">
        <v>3767</v>
      </c>
      <c s="1852" t="s">
        <v>22</v>
      </c>
      <c s="1852" t="s">
        <v>907</v>
      </c>
    </row>
    <row r="1097" spans="1:9" ht="11.25" customHeight="1">
      <c r="A1097" s="1852" t="s">
        <v>2247</v>
      </c>
      <c s="1852" t="s">
        <v>16</v>
      </c>
      <c s="1852" t="s">
        <v>4533</v>
      </c>
      <c s="1852" t="s">
        <v>4534</v>
      </c>
      <c s="1852" t="s">
        <v>4535</v>
      </c>
      <c s="1852" t="s">
        <v>2851</v>
      </c>
      <c s="1852" t="s">
        <v>4536</v>
      </c>
      <c s="1852" t="s">
        <v>22</v>
      </c>
      <c s="1852" t="s">
        <v>907</v>
      </c>
    </row>
    <row r="1098" spans="1:9" ht="11.25" customHeight="1">
      <c r="A1098" s="1852" t="s">
        <v>2247</v>
      </c>
      <c s="1852" t="s">
        <v>16</v>
      </c>
      <c s="1852" t="s">
        <v>3247</v>
      </c>
      <c s="1852" t="s">
        <v>3248</v>
      </c>
      <c s="1852" t="s">
        <v>3249</v>
      </c>
      <c s="1852" t="s">
        <v>2277</v>
      </c>
      <c s="1852" t="s">
        <v>3250</v>
      </c>
      <c s="1852" t="s">
        <v>22</v>
      </c>
      <c s="1852" t="s">
        <v>907</v>
      </c>
    </row>
    <row r="1099" spans="1:9" ht="11.25" customHeight="1">
      <c r="A1099" s="1852" t="s">
        <v>2247</v>
      </c>
      <c s="1852" t="s">
        <v>16</v>
      </c>
      <c s="1852" t="s">
        <v>3251</v>
      </c>
      <c s="1852" t="s">
        <v>3252</v>
      </c>
      <c s="1852" t="s">
        <v>3253</v>
      </c>
      <c s="1852" t="s">
        <v>51</v>
      </c>
      <c s="1852" t="s">
        <v>3254</v>
      </c>
      <c s="1852" t="s">
        <v>22</v>
      </c>
      <c s="1852" t="s">
        <v>907</v>
      </c>
    </row>
    <row r="1100" spans="1:9" ht="11.25" customHeight="1">
      <c r="A1100" s="1852" t="s">
        <v>2247</v>
      </c>
      <c s="1852" t="s">
        <v>16</v>
      </c>
      <c s="1852" t="s">
        <v>4548</v>
      </c>
      <c s="1852" t="s">
        <v>4549</v>
      </c>
      <c s="1852" t="s">
        <v>4550</v>
      </c>
      <c s="1852" t="s">
        <v>4551</v>
      </c>
      <c s="1852" t="s">
        <v>3103</v>
      </c>
      <c s="1852" t="s">
        <v>22</v>
      </c>
      <c s="1852" t="s">
        <v>907</v>
      </c>
    </row>
    <row r="1101" spans="1:9" ht="11.25" customHeight="1">
      <c r="A1101" s="1852" t="s">
        <v>2247</v>
      </c>
      <c s="1852" t="s">
        <v>16</v>
      </c>
      <c s="1852" t="s">
        <v>4798</v>
      </c>
      <c s="1852" t="s">
        <v>4799</v>
      </c>
      <c s="1852" t="s">
        <v>4800</v>
      </c>
      <c s="1852" t="s">
        <v>2659</v>
      </c>
      <c s="1852" t="s">
        <v>4801</v>
      </c>
      <c s="1852" t="s">
        <v>22</v>
      </c>
      <c s="1852" t="s">
        <v>907</v>
      </c>
    </row>
    <row r="1102" spans="1:9" ht="11.25" customHeight="1">
      <c r="A1102" s="1852" t="s">
        <v>2247</v>
      </c>
      <c s="1852" t="s">
        <v>16</v>
      </c>
      <c s="1852" t="s">
        <v>4556</v>
      </c>
      <c s="1852" t="s">
        <v>4557</v>
      </c>
      <c s="1852" t="s">
        <v>4558</v>
      </c>
      <c s="1852" t="s">
        <v>51</v>
      </c>
      <c s="1852" t="s">
        <v>4559</v>
      </c>
      <c s="1852" t="s">
        <v>22</v>
      </c>
      <c s="1852" t="s">
        <v>907</v>
      </c>
    </row>
    <row r="1103" spans="1:9" ht="11.25" customHeight="1">
      <c r="A1103" s="1852" t="s">
        <v>2247</v>
      </c>
      <c s="1852" t="s">
        <v>16</v>
      </c>
      <c s="1852" t="s">
        <v>4802</v>
      </c>
      <c s="1852" t="s">
        <v>4803</v>
      </c>
      <c s="1852" t="s">
        <v>4804</v>
      </c>
      <c s="1852" t="s">
        <v>3082</v>
      </c>
      <c s="1852" t="s">
        <v>4805</v>
      </c>
      <c s="1852" t="s">
        <v>22</v>
      </c>
      <c s="1852" t="s">
        <v>907</v>
      </c>
    </row>
    <row r="1104" spans="1:9" ht="11.25" customHeight="1">
      <c r="A1104" s="1852" t="s">
        <v>2247</v>
      </c>
      <c s="1852" t="s">
        <v>16</v>
      </c>
      <c s="1852" t="s">
        <v>4564</v>
      </c>
      <c s="1852" t="s">
        <v>4565</v>
      </c>
      <c s="1852" t="s">
        <v>4566</v>
      </c>
      <c s="1852" t="s">
        <v>2727</v>
      </c>
      <c s="1852" t="s">
        <v>4567</v>
      </c>
      <c s="1852" t="s">
        <v>22</v>
      </c>
      <c s="1852" t="s">
        <v>907</v>
      </c>
    </row>
    <row r="1105" spans="1:9" ht="11.25" customHeight="1">
      <c r="A1105" s="1852" t="s">
        <v>2247</v>
      </c>
      <c s="1852" t="s">
        <v>16</v>
      </c>
      <c s="1852" t="s">
        <v>3288</v>
      </c>
      <c s="1852" t="s">
        <v>3289</v>
      </c>
      <c s="1852" t="s">
        <v>3290</v>
      </c>
      <c s="1852" t="s">
        <v>2272</v>
      </c>
      <c s="1852" t="s">
        <v>22</v>
      </c>
      <c s="1852" t="s">
        <v>22</v>
      </c>
      <c s="1852" t="s">
        <v>907</v>
      </c>
    </row>
    <row r="1106" spans="1:9" ht="11.25" customHeight="1">
      <c r="A1106" s="1852" t="s">
        <v>2247</v>
      </c>
      <c s="1852" t="s">
        <v>16</v>
      </c>
      <c s="1852" t="s">
        <v>3313</v>
      </c>
      <c s="1852" t="s">
        <v>3314</v>
      </c>
      <c s="1852" t="s">
        <v>3315</v>
      </c>
      <c s="1852" t="s">
        <v>2272</v>
      </c>
      <c s="1852" t="s">
        <v>3316</v>
      </c>
      <c s="1852" t="s">
        <v>22</v>
      </c>
      <c s="1852" t="s">
        <v>907</v>
      </c>
    </row>
    <row r="1107" spans="1:9" ht="11.25" customHeight="1">
      <c r="A1107" s="1852" t="s">
        <v>2247</v>
      </c>
      <c s="1852" t="s">
        <v>16</v>
      </c>
      <c s="1852" t="s">
        <v>4572</v>
      </c>
      <c s="1852" t="s">
        <v>4573</v>
      </c>
      <c s="1852" t="s">
        <v>4574</v>
      </c>
      <c s="1852" t="s">
        <v>2272</v>
      </c>
      <c s="1852" t="s">
        <v>4575</v>
      </c>
      <c s="1852" t="s">
        <v>22</v>
      </c>
      <c s="1852" t="s">
        <v>907</v>
      </c>
    </row>
    <row r="1108" spans="1:9" ht="11.25" customHeight="1">
      <c r="A1108" s="1852" t="s">
        <v>2247</v>
      </c>
      <c s="1852" t="s">
        <v>16</v>
      </c>
      <c s="1852" t="s">
        <v>4806</v>
      </c>
      <c s="1852" t="s">
        <v>4807</v>
      </c>
      <c s="1852" t="s">
        <v>4808</v>
      </c>
      <c s="1852" t="s">
        <v>2272</v>
      </c>
      <c s="1852" t="s">
        <v>4809</v>
      </c>
      <c s="1852" t="s">
        <v>22</v>
      </c>
      <c s="1852" t="s">
        <v>907</v>
      </c>
    </row>
    <row r="1109" spans="1:9" ht="11.25" customHeight="1">
      <c r="A1109" s="1852" t="s">
        <v>2247</v>
      </c>
      <c s="1852" t="s">
        <v>16</v>
      </c>
      <c s="1852" t="s">
        <v>4581</v>
      </c>
      <c s="1852" t="s">
        <v>4582</v>
      </c>
      <c s="1852" t="s">
        <v>4583</v>
      </c>
      <c s="1852" t="s">
        <v>2272</v>
      </c>
      <c s="1852" t="s">
        <v>4584</v>
      </c>
      <c s="1852" t="s">
        <v>22</v>
      </c>
      <c s="1852" t="s">
        <v>907</v>
      </c>
    </row>
    <row r="1110" spans="1:9" ht="11.25" customHeight="1">
      <c r="A1110" s="1852" t="s">
        <v>2247</v>
      </c>
      <c s="1852" t="s">
        <v>16</v>
      </c>
      <c s="1852" t="s">
        <v>3324</v>
      </c>
      <c s="1852" t="s">
        <v>3325</v>
      </c>
      <c s="1852" t="s">
        <v>3326</v>
      </c>
      <c s="1852" t="s">
        <v>2286</v>
      </c>
      <c s="1852" t="s">
        <v>22</v>
      </c>
      <c s="1852" t="s">
        <v>22</v>
      </c>
      <c s="1852" t="s">
        <v>907</v>
      </c>
    </row>
    <row r="1111" spans="1:9" ht="11.25" customHeight="1">
      <c r="A1111" s="1852" t="s">
        <v>2247</v>
      </c>
      <c s="1852" t="s">
        <v>16</v>
      </c>
      <c s="1852" t="s">
        <v>4585</v>
      </c>
      <c s="1852" t="s">
        <v>4586</v>
      </c>
      <c s="1852" t="s">
        <v>4587</v>
      </c>
      <c s="1852" t="s">
        <v>2272</v>
      </c>
      <c s="1852" t="s">
        <v>4588</v>
      </c>
      <c s="1852" t="s">
        <v>22</v>
      </c>
      <c s="1852" t="s">
        <v>907</v>
      </c>
    </row>
    <row r="1112" spans="1:9" ht="11.25" customHeight="1">
      <c r="A1112" s="1852" t="s">
        <v>2247</v>
      </c>
      <c s="1852" t="s">
        <v>16</v>
      </c>
      <c s="1852" t="s">
        <v>4589</v>
      </c>
      <c s="1852" t="s">
        <v>4590</v>
      </c>
      <c s="1852" t="s">
        <v>4591</v>
      </c>
      <c s="1852" t="s">
        <v>2659</v>
      </c>
      <c s="1852" t="s">
        <v>4592</v>
      </c>
      <c s="1852" t="s">
        <v>22</v>
      </c>
      <c s="1852" t="s">
        <v>907</v>
      </c>
    </row>
    <row r="1113" spans="1:9" ht="11.25" customHeight="1">
      <c r="A1113" s="1852" t="s">
        <v>2247</v>
      </c>
      <c s="1852" t="s">
        <v>16</v>
      </c>
      <c s="1852" t="s">
        <v>4593</v>
      </c>
      <c s="1852" t="s">
        <v>4594</v>
      </c>
      <c s="1852" t="s">
        <v>4595</v>
      </c>
      <c s="1852" t="s">
        <v>2272</v>
      </c>
      <c s="1852" t="s">
        <v>4596</v>
      </c>
      <c s="1852" t="s">
        <v>22</v>
      </c>
      <c s="1852" t="s">
        <v>907</v>
      </c>
    </row>
    <row r="1114" spans="1:9" ht="11.25" customHeight="1">
      <c r="A1114" s="1852" t="s">
        <v>2247</v>
      </c>
      <c s="1852" t="s">
        <v>16</v>
      </c>
      <c s="1852" t="s">
        <v>3331</v>
      </c>
      <c s="1852" t="s">
        <v>3332</v>
      </c>
      <c s="1852" t="s">
        <v>3333</v>
      </c>
      <c s="1852" t="s">
        <v>2277</v>
      </c>
      <c s="1852" t="s">
        <v>3334</v>
      </c>
      <c s="1852" t="s">
        <v>22</v>
      </c>
      <c s="1852" t="s">
        <v>907</v>
      </c>
    </row>
    <row r="1115" spans="1:9" ht="11.25" customHeight="1">
      <c r="A1115" s="1852" t="s">
        <v>2247</v>
      </c>
      <c s="1852" t="s">
        <v>16</v>
      </c>
      <c s="1852" t="s">
        <v>3335</v>
      </c>
      <c s="1852" t="s">
        <v>3336</v>
      </c>
      <c s="1852" t="s">
        <v>3337</v>
      </c>
      <c s="1852" t="s">
        <v>2357</v>
      </c>
      <c s="1852" t="s">
        <v>22</v>
      </c>
      <c s="1852" t="s">
        <v>22</v>
      </c>
      <c s="1852" t="s">
        <v>907</v>
      </c>
    </row>
    <row r="1116" spans="1:9" ht="11.25" customHeight="1">
      <c r="A1116" s="1852" t="s">
        <v>2247</v>
      </c>
      <c s="1852" t="s">
        <v>16</v>
      </c>
      <c s="1852" t="s">
        <v>4810</v>
      </c>
      <c s="1852" t="s">
        <v>4811</v>
      </c>
      <c s="1852" t="s">
        <v>4812</v>
      </c>
      <c s="1852" t="s">
        <v>2584</v>
      </c>
      <c s="1852" t="s">
        <v>22</v>
      </c>
      <c s="1852" t="s">
        <v>22</v>
      </c>
      <c s="1852" t="s">
        <v>907</v>
      </c>
    </row>
    <row r="1117" spans="1:9" ht="11.25" customHeight="1">
      <c r="A1117" s="1852" t="s">
        <v>2247</v>
      </c>
      <c s="1852" t="s">
        <v>16</v>
      </c>
      <c s="1852" t="s">
        <v>4813</v>
      </c>
      <c s="1852" t="s">
        <v>4814</v>
      </c>
      <c s="1852" t="s">
        <v>4815</v>
      </c>
      <c s="1852" t="s">
        <v>3148</v>
      </c>
      <c s="1852" t="s">
        <v>22</v>
      </c>
      <c s="1852" t="s">
        <v>22</v>
      </c>
      <c s="1852" t="s">
        <v>907</v>
      </c>
    </row>
    <row r="1118" spans="1:9" ht="11.25" customHeight="1">
      <c r="A1118" s="1852" t="s">
        <v>2247</v>
      </c>
      <c s="1852" t="s">
        <v>16</v>
      </c>
      <c s="1852" t="s">
        <v>4816</v>
      </c>
      <c s="1852" t="s">
        <v>4817</v>
      </c>
      <c s="1852" t="s">
        <v>4818</v>
      </c>
      <c s="1852" t="s">
        <v>51</v>
      </c>
      <c s="1852" t="s">
        <v>4819</v>
      </c>
      <c s="1852" t="s">
        <v>22</v>
      </c>
      <c s="1852" t="s">
        <v>907</v>
      </c>
    </row>
    <row r="1119" spans="1:9" ht="11.25" customHeight="1">
      <c r="A1119" s="1852" t="s">
        <v>2247</v>
      </c>
      <c s="1852" t="s">
        <v>16</v>
      </c>
      <c s="1852" t="s">
        <v>3580</v>
      </c>
      <c s="1852" t="s">
        <v>3581</v>
      </c>
      <c s="1852" t="s">
        <v>2299</v>
      </c>
      <c s="1852" t="s">
        <v>3582</v>
      </c>
      <c s="1852" t="s">
        <v>3583</v>
      </c>
      <c s="1852" t="s">
        <v>22</v>
      </c>
      <c s="1852" t="s">
        <v>907</v>
      </c>
    </row>
    <row r="1120" spans="1:9" ht="11.25" customHeight="1">
      <c r="A1120" s="1852" t="s">
        <v>2247</v>
      </c>
      <c s="1852" t="s">
        <v>16</v>
      </c>
      <c s="1852" t="s">
        <v>4604</v>
      </c>
      <c s="1852" t="s">
        <v>4605</v>
      </c>
      <c s="1852" t="s">
        <v>4606</v>
      </c>
      <c s="1852" t="s">
        <v>2265</v>
      </c>
      <c s="1852" t="s">
        <v>22</v>
      </c>
      <c s="1852" t="s">
        <v>22</v>
      </c>
      <c s="1852" t="s">
        <v>907</v>
      </c>
    </row>
    <row r="1121" spans="1:9" ht="11.25" customHeight="1">
      <c r="A1121" s="1852" t="s">
        <v>2247</v>
      </c>
      <c s="1852" t="s">
        <v>16</v>
      </c>
      <c s="1852" t="s">
        <v>4820</v>
      </c>
      <c s="1852" t="s">
        <v>4821</v>
      </c>
      <c s="1852" t="s">
        <v>4822</v>
      </c>
      <c s="1852" t="s">
        <v>2636</v>
      </c>
      <c s="1852" t="s">
        <v>3087</v>
      </c>
      <c s="1852" t="s">
        <v>22</v>
      </c>
      <c s="1852" t="s">
        <v>907</v>
      </c>
    </row>
    <row r="1122" spans="1:9" ht="11.25" customHeight="1">
      <c r="A1122" s="1852" t="s">
        <v>2247</v>
      </c>
      <c s="1852" t="s">
        <v>16</v>
      </c>
      <c s="1852" t="s">
        <v>3385</v>
      </c>
      <c s="1852" t="s">
        <v>3386</v>
      </c>
      <c s="1852" t="s">
        <v>3387</v>
      </c>
      <c s="1852" t="s">
        <v>2347</v>
      </c>
      <c s="1852" t="s">
        <v>22</v>
      </c>
      <c s="1852" t="s">
        <v>22</v>
      </c>
      <c s="1852" t="s">
        <v>907</v>
      </c>
    </row>
    <row r="1123" spans="1:9" ht="11.25" customHeight="1">
      <c r="A1123" s="1852" t="s">
        <v>2247</v>
      </c>
      <c s="1852" t="s">
        <v>16</v>
      </c>
      <c s="1852" t="s">
        <v>4610</v>
      </c>
      <c s="1852" t="s">
        <v>4611</v>
      </c>
      <c s="1852" t="s">
        <v>4612</v>
      </c>
      <c s="1852" t="s">
        <v>3401</v>
      </c>
      <c s="1852" t="s">
        <v>4613</v>
      </c>
      <c s="1852" t="s">
        <v>22</v>
      </c>
      <c s="1852" t="s">
        <v>907</v>
      </c>
    </row>
    <row r="1124" spans="1:9" ht="11.25" customHeight="1">
      <c r="A1124" s="1852" t="s">
        <v>2247</v>
      </c>
      <c s="1852" t="s">
        <v>16</v>
      </c>
      <c s="1852" t="s">
        <v>4614</v>
      </c>
      <c s="1852" t="s">
        <v>4615</v>
      </c>
      <c s="1852" t="s">
        <v>4616</v>
      </c>
      <c s="1852" t="s">
        <v>4617</v>
      </c>
      <c s="1852" t="s">
        <v>4618</v>
      </c>
      <c s="1852" t="s">
        <v>22</v>
      </c>
      <c s="1852" t="s">
        <v>907</v>
      </c>
    </row>
    <row r="1125" spans="1:9" ht="11.25" customHeight="1">
      <c r="A1125" s="1852" t="s">
        <v>2247</v>
      </c>
      <c s="1852" t="s">
        <v>16</v>
      </c>
      <c s="1852" t="s">
        <v>4619</v>
      </c>
      <c s="1852" t="s">
        <v>4620</v>
      </c>
      <c s="1852" t="s">
        <v>4621</v>
      </c>
      <c s="1852" t="s">
        <v>2746</v>
      </c>
      <c s="1852" t="s">
        <v>3824</v>
      </c>
      <c s="1852" t="s">
        <v>22</v>
      </c>
      <c s="1852" t="s">
        <v>907</v>
      </c>
    </row>
    <row r="1126" spans="1:9" ht="11.25" customHeight="1">
      <c r="A1126" s="1852" t="s">
        <v>2247</v>
      </c>
      <c s="1852" t="s">
        <v>16</v>
      </c>
      <c s="1852" t="s">
        <v>3403</v>
      </c>
      <c s="1852" t="s">
        <v>3404</v>
      </c>
      <c s="1852" t="s">
        <v>3405</v>
      </c>
      <c s="1852" t="s">
        <v>3406</v>
      </c>
      <c s="1852" t="s">
        <v>22</v>
      </c>
      <c s="1852" t="s">
        <v>22</v>
      </c>
      <c s="1852" t="s">
        <v>907</v>
      </c>
    </row>
    <row r="1127" spans="1:9" ht="11.25" customHeight="1">
      <c r="A1127" s="1852" t="s">
        <v>2247</v>
      </c>
      <c s="1852" t="s">
        <v>16</v>
      </c>
      <c s="1852" t="s">
        <v>3424</v>
      </c>
      <c s="1852" t="s">
        <v>3425</v>
      </c>
      <c s="1852" t="s">
        <v>3426</v>
      </c>
      <c s="1852" t="s">
        <v>2411</v>
      </c>
      <c s="1852" t="s">
        <v>3427</v>
      </c>
      <c s="1852" t="s">
        <v>22</v>
      </c>
      <c s="1852" t="s">
        <v>907</v>
      </c>
    </row>
    <row r="1128" spans="1:9" ht="11.25" customHeight="1">
      <c r="A1128" s="1852" t="s">
        <v>2247</v>
      </c>
      <c s="1852" t="s">
        <v>16</v>
      </c>
      <c s="1852" t="s">
        <v>3428</v>
      </c>
      <c s="1852" t="s">
        <v>3429</v>
      </c>
      <c s="1852" t="s">
        <v>3430</v>
      </c>
      <c s="1852" t="s">
        <v>51</v>
      </c>
      <c s="1852" t="s">
        <v>3431</v>
      </c>
      <c s="1852" t="s">
        <v>22</v>
      </c>
      <c s="1852" t="s">
        <v>907</v>
      </c>
    </row>
    <row r="1129" spans="1:9" ht="11.25" customHeight="1">
      <c r="A1129" s="1852" t="s">
        <v>2247</v>
      </c>
      <c s="1852" t="s">
        <v>16</v>
      </c>
      <c s="1852" t="s">
        <v>4633</v>
      </c>
      <c s="1852" t="s">
        <v>4634</v>
      </c>
      <c s="1852" t="s">
        <v>4635</v>
      </c>
      <c s="1852" t="s">
        <v>51</v>
      </c>
      <c s="1852" t="s">
        <v>4636</v>
      </c>
      <c s="1852" t="s">
        <v>22</v>
      </c>
      <c s="1852" t="s">
        <v>907</v>
      </c>
    </row>
    <row r="1130" spans="1:9" ht="11.25" customHeight="1">
      <c r="A1130" s="1852" t="s">
        <v>2247</v>
      </c>
      <c s="1852" t="s">
        <v>16</v>
      </c>
      <c s="1852" t="s">
        <v>3432</v>
      </c>
      <c s="1852" t="s">
        <v>3433</v>
      </c>
      <c s="1852" t="s">
        <v>3434</v>
      </c>
      <c s="1852" t="s">
        <v>2411</v>
      </c>
      <c s="1852" t="s">
        <v>2482</v>
      </c>
      <c s="1852" t="s">
        <v>22</v>
      </c>
      <c s="1852" t="s">
        <v>907</v>
      </c>
    </row>
    <row r="1131" spans="1:9" ht="11.25" customHeight="1">
      <c r="A1131" s="1852" t="s">
        <v>2247</v>
      </c>
      <c s="1852" t="s">
        <v>16</v>
      </c>
      <c s="1852" t="s">
        <v>4637</v>
      </c>
      <c s="1852" t="s">
        <v>4638</v>
      </c>
      <c s="1852" t="s">
        <v>4616</v>
      </c>
      <c s="1852" t="s">
        <v>51</v>
      </c>
      <c s="1852" t="s">
        <v>4639</v>
      </c>
      <c s="1852" t="s">
        <v>22</v>
      </c>
      <c s="1852" t="s">
        <v>907</v>
      </c>
    </row>
    <row r="1132" spans="1:9" ht="11.25" customHeight="1">
      <c r="A1132" s="1852" t="s">
        <v>2247</v>
      </c>
      <c s="1852" t="s">
        <v>16</v>
      </c>
      <c s="1852" t="s">
        <v>3448</v>
      </c>
      <c s="1852" t="s">
        <v>3449</v>
      </c>
      <c s="1852" t="s">
        <v>3450</v>
      </c>
      <c s="1852" t="s">
        <v>3451</v>
      </c>
      <c s="1852" t="s">
        <v>22</v>
      </c>
      <c s="1852" t="s">
        <v>22</v>
      </c>
      <c s="1852" t="s">
        <v>907</v>
      </c>
    </row>
    <row r="1133" spans="1:9" ht="11.25" customHeight="1">
      <c r="A1133" s="1852" t="s">
        <v>2247</v>
      </c>
      <c s="1852" t="s">
        <v>16</v>
      </c>
      <c s="1852" t="s">
        <v>4643</v>
      </c>
      <c s="1852" t="s">
        <v>4644</v>
      </c>
      <c s="1852" t="s">
        <v>4645</v>
      </c>
      <c s="1852" t="s">
        <v>3148</v>
      </c>
      <c s="1852" t="s">
        <v>4646</v>
      </c>
      <c s="1852" t="s">
        <v>22</v>
      </c>
      <c s="1852" t="s">
        <v>907</v>
      </c>
    </row>
    <row r="1134" spans="1:9" ht="11.25" customHeight="1">
      <c r="A1134" s="1852" t="s">
        <v>2247</v>
      </c>
      <c s="1852" t="s">
        <v>16</v>
      </c>
      <c s="1852" t="s">
        <v>3467</v>
      </c>
      <c s="1852" t="s">
        <v>3468</v>
      </c>
      <c s="1852" t="s">
        <v>3469</v>
      </c>
      <c s="1852" t="s">
        <v>51</v>
      </c>
      <c s="1852" t="s">
        <v>3470</v>
      </c>
      <c s="1852" t="s">
        <v>22</v>
      </c>
      <c s="1852" t="s">
        <v>907</v>
      </c>
    </row>
    <row r="1135" spans="1:9" ht="11.25" customHeight="1">
      <c r="A1135" s="1852" t="s">
        <v>2247</v>
      </c>
      <c s="1852" t="s">
        <v>16</v>
      </c>
      <c s="1852" t="s">
        <v>4647</v>
      </c>
      <c s="1852" t="s">
        <v>4648</v>
      </c>
      <c s="1852" t="s">
        <v>4649</v>
      </c>
      <c s="1852" t="s">
        <v>3148</v>
      </c>
      <c s="1852" t="s">
        <v>4650</v>
      </c>
      <c s="1852" t="s">
        <v>22</v>
      </c>
      <c s="1852" t="s">
        <v>907</v>
      </c>
    </row>
    <row r="1136" spans="1:9" ht="11.25" customHeight="1">
      <c r="A1136" s="1852" t="s">
        <v>2247</v>
      </c>
      <c s="1852" t="s">
        <v>16</v>
      </c>
      <c s="1852" t="s">
        <v>3471</v>
      </c>
      <c s="1852" t="s">
        <v>3472</v>
      </c>
      <c s="1852" t="s">
        <v>3473</v>
      </c>
      <c s="1852" t="s">
        <v>2511</v>
      </c>
      <c s="1852" t="s">
        <v>3474</v>
      </c>
      <c s="1852" t="s">
        <v>22</v>
      </c>
      <c s="1852" t="s">
        <v>907</v>
      </c>
    </row>
    <row r="1137" spans="1:9" ht="11.25" customHeight="1">
      <c r="A1137" s="1852" t="s">
        <v>2247</v>
      </c>
      <c s="1852" t="s">
        <v>16</v>
      </c>
      <c s="1852" t="s">
        <v>3487</v>
      </c>
      <c s="1852" t="s">
        <v>3488</v>
      </c>
      <c s="1852" t="s">
        <v>3489</v>
      </c>
      <c s="1852" t="s">
        <v>2411</v>
      </c>
      <c s="1852" t="s">
        <v>3490</v>
      </c>
      <c s="1852" t="s">
        <v>22</v>
      </c>
      <c s="1852" t="s">
        <v>907</v>
      </c>
    </row>
    <row r="1138" spans="1:9" ht="11.25" customHeight="1">
      <c r="A1138" s="1852" t="s">
        <v>2247</v>
      </c>
      <c s="1852" t="s">
        <v>16</v>
      </c>
      <c s="1852" t="s">
        <v>3512</v>
      </c>
      <c s="1852" t="s">
        <v>3513</v>
      </c>
      <c s="1852" t="s">
        <v>3503</v>
      </c>
      <c s="1852" t="s">
        <v>2347</v>
      </c>
      <c s="1852" t="s">
        <v>22</v>
      </c>
      <c s="1852" t="s">
        <v>22</v>
      </c>
      <c s="1852" t="s">
        <v>907</v>
      </c>
    </row>
    <row r="1139" spans="1:9" ht="11.25" customHeight="1">
      <c r="A1139" s="1852" t="s">
        <v>2247</v>
      </c>
      <c s="1852" t="s">
        <v>16</v>
      </c>
      <c s="1852" t="s">
        <v>3549</v>
      </c>
      <c s="1852" t="s">
        <v>3550</v>
      </c>
      <c s="1852" t="s">
        <v>3551</v>
      </c>
      <c s="1852" t="s">
        <v>3552</v>
      </c>
      <c s="1852" t="s">
        <v>22</v>
      </c>
      <c s="1852" t="s">
        <v>22</v>
      </c>
      <c s="1852" t="s">
        <v>907</v>
      </c>
    </row>
    <row r="1140" spans="1:9" ht="11.25" customHeight="1">
      <c r="A1140" s="1852" t="s">
        <v>2247</v>
      </c>
      <c s="1852" t="s">
        <v>16</v>
      </c>
      <c s="1852" t="s">
        <v>3558</v>
      </c>
      <c s="1852" t="s">
        <v>3559</v>
      </c>
      <c s="1852" t="s">
        <v>2307</v>
      </c>
      <c s="1852" t="s">
        <v>3560</v>
      </c>
      <c s="1852" t="s">
        <v>22</v>
      </c>
      <c s="1852" t="s">
        <v>22</v>
      </c>
      <c s="1852" t="s">
        <v>907</v>
      </c>
    </row>
    <row r="1141" spans="1:9" ht="11.25" customHeight="1">
      <c r="A1141" s="1852" t="s">
        <v>2247</v>
      </c>
      <c s="1852" t="s">
        <v>16</v>
      </c>
      <c s="1852" t="s">
        <v>22</v>
      </c>
      <c s="1852" t="s">
        <v>2248</v>
      </c>
      <c s="1852" t="s">
        <v>2249</v>
      </c>
      <c s="1852" t="s">
        <v>2250</v>
      </c>
      <c s="1852" t="s">
        <v>22</v>
      </c>
      <c s="1852" t="s">
        <v>22</v>
      </c>
      <c s="1852" t="s">
        <v>1619</v>
      </c>
    </row>
    <row r="1142" spans="1:9" ht="11.25" customHeight="1">
      <c r="A1142" s="1852" t="s">
        <v>2247</v>
      </c>
      <c s="1852" t="s">
        <v>16</v>
      </c>
      <c s="1852" t="s">
        <v>22</v>
      </c>
      <c s="1852" t="s">
        <v>2251</v>
      </c>
      <c s="1852" t="s">
        <v>2252</v>
      </c>
      <c s="1852" t="s">
        <v>2253</v>
      </c>
      <c s="1852" t="s">
        <v>22</v>
      </c>
      <c s="1852" t="s">
        <v>22</v>
      </c>
      <c s="1852" t="s">
        <v>1619</v>
      </c>
    </row>
    <row r="1143" spans="1:9" ht="11.25" customHeight="1">
      <c r="A1143" s="1852" t="s">
        <v>2247</v>
      </c>
      <c s="1852" t="s">
        <v>16</v>
      </c>
      <c s="1852" t="s">
        <v>22</v>
      </c>
      <c s="1852" t="s">
        <v>2254</v>
      </c>
      <c s="1852" t="s">
        <v>2255</v>
      </c>
      <c s="1852" t="s">
        <v>2256</v>
      </c>
      <c s="1852" t="s">
        <v>22</v>
      </c>
      <c s="1852" t="s">
        <v>22</v>
      </c>
      <c s="1852" t="s">
        <v>1619</v>
      </c>
    </row>
    <row r="1144" spans="1:9" ht="11.25" customHeight="1">
      <c r="A1144" s="1852" t="s">
        <v>2247</v>
      </c>
      <c s="1852" t="s">
        <v>16</v>
      </c>
      <c s="1852" t="s">
        <v>22</v>
      </c>
      <c s="1852" t="s">
        <v>2257</v>
      </c>
      <c s="1852" t="s">
        <v>2258</v>
      </c>
      <c s="1852" t="s">
        <v>2259</v>
      </c>
      <c s="1852" t="s">
        <v>22</v>
      </c>
      <c s="1852" t="s">
        <v>22</v>
      </c>
      <c s="1852" t="s">
        <v>1619</v>
      </c>
    </row>
    <row r="1145" spans="1:9" ht="11.25" customHeight="1">
      <c r="A1145" s="1852" t="s">
        <v>2247</v>
      </c>
      <c s="1852" t="s">
        <v>16</v>
      </c>
      <c s="1852" t="s">
        <v>22</v>
      </c>
      <c s="1852" t="s">
        <v>2260</v>
      </c>
      <c s="1852" t="s">
        <v>2261</v>
      </c>
      <c s="1852" t="s">
        <v>2262</v>
      </c>
      <c s="1852" t="s">
        <v>22</v>
      </c>
      <c s="1852" t="s">
        <v>22</v>
      </c>
      <c s="1852" t="s">
        <v>1619</v>
      </c>
    </row>
    <row r="1146" spans="1:9" ht="11.25" customHeight="1">
      <c r="A1146" s="1852" t="s">
        <v>2247</v>
      </c>
      <c s="1852" t="s">
        <v>16</v>
      </c>
      <c s="1852" t="s">
        <v>22</v>
      </c>
      <c s="1852" t="s">
        <v>2263</v>
      </c>
      <c s="1852" t="s">
        <v>2264</v>
      </c>
      <c s="1852" t="s">
        <v>2265</v>
      </c>
      <c s="1852" t="s">
        <v>22</v>
      </c>
      <c s="1852" t="s">
        <v>22</v>
      </c>
      <c s="1852" t="s">
        <v>1619</v>
      </c>
    </row>
    <row r="1147" spans="1:9" ht="11.25" customHeight="1">
      <c r="A1147" s="1852" t="s">
        <v>2247</v>
      </c>
      <c s="1852" t="s">
        <v>16</v>
      </c>
      <c s="1852" t="s">
        <v>4823</v>
      </c>
      <c s="1852" t="s">
        <v>4824</v>
      </c>
      <c s="1852" t="s">
        <v>4825</v>
      </c>
      <c s="1852" t="s">
        <v>2411</v>
      </c>
      <c s="1852" t="s">
        <v>4826</v>
      </c>
      <c s="1852" t="s">
        <v>22</v>
      </c>
      <c s="1852" t="s">
        <v>1619</v>
      </c>
    </row>
    <row r="1148" spans="1:9" ht="11.25" customHeight="1">
      <c r="A1148" s="1852" t="s">
        <v>2247</v>
      </c>
      <c s="1852" t="s">
        <v>16</v>
      </c>
      <c s="1852" t="s">
        <v>4827</v>
      </c>
      <c s="1852" t="s">
        <v>4828</v>
      </c>
      <c s="1852" t="s">
        <v>4829</v>
      </c>
      <c s="1852" t="s">
        <v>2826</v>
      </c>
      <c s="1852" t="s">
        <v>4830</v>
      </c>
      <c s="1852" t="s">
        <v>22</v>
      </c>
      <c s="1852" t="s">
        <v>1619</v>
      </c>
    </row>
    <row r="1149" spans="1:9" ht="11.25" customHeight="1">
      <c r="A1149" s="1852" t="s">
        <v>2247</v>
      </c>
      <c s="1852" t="s">
        <v>16</v>
      </c>
      <c s="1852" t="s">
        <v>4831</v>
      </c>
      <c s="1852" t="s">
        <v>4832</v>
      </c>
      <c s="1852" t="s">
        <v>4833</v>
      </c>
      <c s="1852" t="s">
        <v>2826</v>
      </c>
      <c s="1852" t="s">
        <v>22</v>
      </c>
      <c s="1852" t="s">
        <v>22</v>
      </c>
      <c s="1852" t="s">
        <v>1619</v>
      </c>
    </row>
    <row r="1150" spans="1:9" ht="11.25" customHeight="1">
      <c r="A1150" s="1852" t="s">
        <v>2247</v>
      </c>
      <c s="1852" t="s">
        <v>16</v>
      </c>
      <c s="1852" t="s">
        <v>3658</v>
      </c>
      <c s="1852" t="s">
        <v>3659</v>
      </c>
      <c s="1852" t="s">
        <v>3660</v>
      </c>
      <c s="1852" t="s">
        <v>2262</v>
      </c>
      <c s="1852" t="s">
        <v>22</v>
      </c>
      <c s="1852" t="s">
        <v>22</v>
      </c>
      <c s="1852" t="s">
        <v>1619</v>
      </c>
    </row>
    <row r="1151" spans="1:9" ht="11.25" customHeight="1">
      <c r="A1151" s="1852" t="s">
        <v>2247</v>
      </c>
      <c s="1852" t="s">
        <v>16</v>
      </c>
      <c s="1852" t="s">
        <v>22</v>
      </c>
      <c s="1852" t="s">
        <v>2493</v>
      </c>
      <c s="1852" t="s">
        <v>2494</v>
      </c>
      <c s="1852" t="s">
        <v>2277</v>
      </c>
      <c s="1852" t="s">
        <v>22</v>
      </c>
      <c s="1852" t="s">
        <v>22</v>
      </c>
      <c s="1852" t="s">
        <v>1619</v>
      </c>
    </row>
    <row r="1152" spans="1:9" ht="11.25" customHeight="1">
      <c r="A1152" s="1852" t="s">
        <v>2247</v>
      </c>
      <c s="1852" t="s">
        <v>16</v>
      </c>
      <c s="1852" t="s">
        <v>4834</v>
      </c>
      <c s="1852" t="s">
        <v>4835</v>
      </c>
      <c s="1852" t="s">
        <v>4836</v>
      </c>
      <c s="1852" t="s">
        <v>575</v>
      </c>
      <c s="1852" t="s">
        <v>4837</v>
      </c>
      <c s="1852" t="s">
        <v>22</v>
      </c>
      <c s="1852" t="s">
        <v>1619</v>
      </c>
    </row>
    <row r="1153" spans="1:9" ht="11.25" customHeight="1">
      <c r="A1153" s="1852" t="s">
        <v>2247</v>
      </c>
      <c s="1852" t="s">
        <v>16</v>
      </c>
      <c s="1852" t="s">
        <v>4838</v>
      </c>
      <c s="1852" t="s">
        <v>4839</v>
      </c>
      <c s="1852" t="s">
        <v>4840</v>
      </c>
      <c s="1852" t="s">
        <v>575</v>
      </c>
      <c s="1852" t="s">
        <v>4841</v>
      </c>
      <c s="1852" t="s">
        <v>22</v>
      </c>
      <c s="1852" t="s">
        <v>1619</v>
      </c>
    </row>
    <row r="1154" spans="1:9" ht="11.25" customHeight="1">
      <c r="A1154" s="1852" t="s">
        <v>2247</v>
      </c>
      <c s="1852" t="s">
        <v>16</v>
      </c>
      <c s="1852" t="s">
        <v>4842</v>
      </c>
      <c s="1852" t="s">
        <v>4843</v>
      </c>
      <c s="1852" t="s">
        <v>4844</v>
      </c>
      <c s="1852" t="s">
        <v>575</v>
      </c>
      <c s="1852" t="s">
        <v>4845</v>
      </c>
      <c s="1852" t="s">
        <v>22</v>
      </c>
      <c s="1852" t="s">
        <v>1619</v>
      </c>
    </row>
    <row r="1155" spans="1:9" ht="11.25" customHeight="1">
      <c r="A1155" s="1852" t="s">
        <v>2247</v>
      </c>
      <c s="1852" t="s">
        <v>16</v>
      </c>
      <c s="1852" t="s">
        <v>4846</v>
      </c>
      <c s="1852" t="s">
        <v>4847</v>
      </c>
      <c s="1852" t="s">
        <v>4848</v>
      </c>
      <c s="1852" t="s">
        <v>575</v>
      </c>
      <c s="1852" t="s">
        <v>4849</v>
      </c>
      <c s="1852" t="s">
        <v>22</v>
      </c>
      <c s="1852" t="s">
        <v>1619</v>
      </c>
    </row>
    <row r="1156" spans="1:9" ht="11.25" customHeight="1">
      <c r="A1156" s="1852" t="s">
        <v>2247</v>
      </c>
      <c s="1852" t="s">
        <v>16</v>
      </c>
      <c s="1852" t="s">
        <v>4850</v>
      </c>
      <c s="1852" t="s">
        <v>4851</v>
      </c>
      <c s="1852" t="s">
        <v>4852</v>
      </c>
      <c s="1852" t="s">
        <v>575</v>
      </c>
      <c s="1852" t="s">
        <v>4853</v>
      </c>
      <c s="1852" t="s">
        <v>22</v>
      </c>
      <c s="1852" t="s">
        <v>1619</v>
      </c>
    </row>
    <row r="1157" spans="1:9" ht="11.25" customHeight="1">
      <c r="A1157" s="1852" t="s">
        <v>2247</v>
      </c>
      <c s="1852" t="s">
        <v>16</v>
      </c>
      <c s="1852" t="s">
        <v>4854</v>
      </c>
      <c s="1852" t="s">
        <v>4855</v>
      </c>
      <c s="1852" t="s">
        <v>4856</v>
      </c>
      <c s="1852" t="s">
        <v>575</v>
      </c>
      <c s="1852" t="s">
        <v>4857</v>
      </c>
      <c s="1852" t="s">
        <v>22</v>
      </c>
      <c s="1852" t="s">
        <v>1619</v>
      </c>
    </row>
    <row r="1158" spans="1:9" ht="11.25" customHeight="1">
      <c r="A1158" s="1852" t="s">
        <v>2247</v>
      </c>
      <c s="1852" t="s">
        <v>16</v>
      </c>
      <c s="1852" t="s">
        <v>4858</v>
      </c>
      <c s="1852" t="s">
        <v>4859</v>
      </c>
      <c s="1852" t="s">
        <v>4860</v>
      </c>
      <c s="1852" t="s">
        <v>575</v>
      </c>
      <c s="1852" t="s">
        <v>4861</v>
      </c>
      <c s="1852" t="s">
        <v>22</v>
      </c>
      <c s="1852" t="s">
        <v>1619</v>
      </c>
    </row>
    <row r="1159" spans="1:9" ht="11.25" customHeight="1">
      <c r="A1159" s="1852" t="s">
        <v>2247</v>
      </c>
      <c s="1852" t="s">
        <v>16</v>
      </c>
      <c s="1852" t="s">
        <v>4862</v>
      </c>
      <c s="1852" t="s">
        <v>4863</v>
      </c>
      <c s="1852" t="s">
        <v>4864</v>
      </c>
      <c s="1852" t="s">
        <v>2347</v>
      </c>
      <c s="1852" t="s">
        <v>22</v>
      </c>
      <c s="1852" t="s">
        <v>22</v>
      </c>
      <c s="1852" t="s">
        <v>1619</v>
      </c>
    </row>
    <row r="1160" spans="1:9" ht="11.25" customHeight="1">
      <c r="A1160" s="1852" t="s">
        <v>2247</v>
      </c>
      <c s="1852" t="s">
        <v>16</v>
      </c>
      <c s="1852" t="s">
        <v>4865</v>
      </c>
      <c s="1852" t="s">
        <v>4866</v>
      </c>
      <c s="1852" t="s">
        <v>4867</v>
      </c>
      <c s="1852" t="s">
        <v>2253</v>
      </c>
      <c s="1852" t="s">
        <v>4868</v>
      </c>
      <c s="1852" t="s">
        <v>22</v>
      </c>
      <c s="1852" t="s">
        <v>1619</v>
      </c>
    </row>
    <row r="1161" spans="1:9" ht="11.25" customHeight="1">
      <c r="A1161" s="1852" t="s">
        <v>2247</v>
      </c>
      <c s="1852" t="s">
        <v>16</v>
      </c>
      <c s="1852" t="s">
        <v>4869</v>
      </c>
      <c s="1852" t="s">
        <v>4870</v>
      </c>
      <c s="1852" t="s">
        <v>4871</v>
      </c>
      <c s="1852" t="s">
        <v>2727</v>
      </c>
      <c s="1852" t="s">
        <v>4872</v>
      </c>
      <c s="1852" t="s">
        <v>22</v>
      </c>
      <c s="1852" t="s">
        <v>1619</v>
      </c>
    </row>
    <row r="1162" spans="1:9" ht="11.25" customHeight="1">
      <c r="A1162" s="1852" t="s">
        <v>2247</v>
      </c>
      <c s="1852" t="s">
        <v>16</v>
      </c>
      <c s="1852" t="s">
        <v>4032</v>
      </c>
      <c s="1852" t="s">
        <v>4033</v>
      </c>
      <c s="1852" t="s">
        <v>4034</v>
      </c>
      <c s="1852" t="s">
        <v>2604</v>
      </c>
      <c s="1852" t="s">
        <v>4035</v>
      </c>
      <c s="1852" t="s">
        <v>22</v>
      </c>
      <c s="1852" t="s">
        <v>1619</v>
      </c>
    </row>
    <row r="1163" spans="1:9" ht="11.25" customHeight="1">
      <c r="A1163" s="1852" t="s">
        <v>2247</v>
      </c>
      <c s="1852" t="s">
        <v>16</v>
      </c>
      <c s="1852" t="s">
        <v>4204</v>
      </c>
      <c s="1852" t="s">
        <v>4205</v>
      </c>
      <c s="1852" t="s">
        <v>4206</v>
      </c>
      <c s="1852" t="s">
        <v>2399</v>
      </c>
      <c s="1852" t="s">
        <v>4207</v>
      </c>
      <c s="1852" t="s">
        <v>22</v>
      </c>
      <c s="1852" t="s">
        <v>1619</v>
      </c>
    </row>
    <row r="1164" spans="1:9" ht="11.25" customHeight="1">
      <c r="A1164" s="1852" t="s">
        <v>2247</v>
      </c>
      <c s="1852" t="s">
        <v>16</v>
      </c>
      <c s="1852" t="s">
        <v>4873</v>
      </c>
      <c s="1852" t="s">
        <v>4874</v>
      </c>
      <c s="1852" t="s">
        <v>4875</v>
      </c>
      <c s="1852" t="s">
        <v>3241</v>
      </c>
      <c s="1852" t="s">
        <v>4876</v>
      </c>
      <c s="1852" t="s">
        <v>22</v>
      </c>
      <c s="1852" t="s">
        <v>1619</v>
      </c>
    </row>
    <row r="1165" spans="1:9" ht="11.25" customHeight="1">
      <c r="A1165" s="1852" t="s">
        <v>2247</v>
      </c>
      <c s="1852" t="s">
        <v>16</v>
      </c>
      <c s="1852" t="s">
        <v>4877</v>
      </c>
      <c s="1852" t="s">
        <v>4878</v>
      </c>
      <c s="1852" t="s">
        <v>4879</v>
      </c>
      <c s="1852" t="s">
        <v>2467</v>
      </c>
      <c s="1852" t="s">
        <v>4880</v>
      </c>
      <c s="1852" t="s">
        <v>22</v>
      </c>
      <c s="1852" t="s">
        <v>1619</v>
      </c>
    </row>
    <row r="1166" spans="1:9" ht="11.25" customHeight="1">
      <c r="A1166" s="1852" t="s">
        <v>2247</v>
      </c>
      <c s="1852" t="s">
        <v>16</v>
      </c>
      <c s="1852" t="s">
        <v>4881</v>
      </c>
      <c s="1852" t="s">
        <v>4882</v>
      </c>
      <c s="1852" t="s">
        <v>4883</v>
      </c>
      <c s="1852" t="s">
        <v>4884</v>
      </c>
      <c s="1852" t="s">
        <v>22</v>
      </c>
      <c s="1852" t="s">
        <v>22</v>
      </c>
      <c s="1852" t="s">
        <v>1619</v>
      </c>
    </row>
    <row r="1167" spans="1:9" ht="11.25" customHeight="1">
      <c r="A1167" s="1852" t="s">
        <v>2247</v>
      </c>
      <c s="1852" t="s">
        <v>16</v>
      </c>
      <c s="1852" t="s">
        <v>4885</v>
      </c>
      <c s="1852" t="s">
        <v>4886</v>
      </c>
      <c s="1852" t="s">
        <v>4887</v>
      </c>
      <c s="1852" t="s">
        <v>2731</v>
      </c>
      <c s="1852" t="s">
        <v>4888</v>
      </c>
      <c s="1852" t="s">
        <v>22</v>
      </c>
      <c s="1852" t="s">
        <v>1619</v>
      </c>
    </row>
    <row r="1168" spans="1:9" ht="11.25" customHeight="1">
      <c r="A1168" s="1852" t="s">
        <v>2247</v>
      </c>
      <c s="1852" t="s">
        <v>16</v>
      </c>
      <c s="1852" t="s">
        <v>4889</v>
      </c>
      <c s="1852" t="s">
        <v>4890</v>
      </c>
      <c s="1852" t="s">
        <v>4891</v>
      </c>
      <c s="1852" t="s">
        <v>4892</v>
      </c>
      <c s="1852" t="s">
        <v>4893</v>
      </c>
      <c s="1852" t="s">
        <v>22</v>
      </c>
      <c s="1852" t="s">
        <v>1619</v>
      </c>
    </row>
    <row r="1169" spans="1:9" ht="11.25" customHeight="1">
      <c r="A1169" s="1852" t="s">
        <v>2247</v>
      </c>
      <c s="1852" t="s">
        <v>16</v>
      </c>
      <c s="1852" t="s">
        <v>4894</v>
      </c>
      <c s="1852" t="s">
        <v>4895</v>
      </c>
      <c s="1852" t="s">
        <v>4896</v>
      </c>
      <c s="1852" t="s">
        <v>2347</v>
      </c>
      <c s="1852" t="s">
        <v>22</v>
      </c>
      <c s="1852" t="s">
        <v>22</v>
      </c>
      <c s="1852" t="s">
        <v>1619</v>
      </c>
    </row>
    <row r="1170" spans="1:9" ht="11.25" customHeight="1">
      <c r="A1170" s="1852" t="s">
        <v>2247</v>
      </c>
      <c s="1852" t="s">
        <v>16</v>
      </c>
      <c s="1852" t="s">
        <v>4897</v>
      </c>
      <c s="1852" t="s">
        <v>4898</v>
      </c>
      <c s="1852" t="s">
        <v>4899</v>
      </c>
      <c s="1852" t="s">
        <v>4900</v>
      </c>
      <c s="1852" t="s">
        <v>4901</v>
      </c>
      <c s="1852" t="s">
        <v>22</v>
      </c>
      <c s="1852" t="s">
        <v>1619</v>
      </c>
    </row>
    <row r="1171" spans="1:9" ht="11.25" customHeight="1">
      <c r="A1171" s="1852" t="s">
        <v>2247</v>
      </c>
      <c s="1852" t="s">
        <v>16</v>
      </c>
      <c s="1852" t="s">
        <v>4902</v>
      </c>
      <c s="1852" t="s">
        <v>4903</v>
      </c>
      <c s="1852" t="s">
        <v>4904</v>
      </c>
      <c s="1852" t="s">
        <v>4900</v>
      </c>
      <c s="1852" t="s">
        <v>4905</v>
      </c>
      <c s="1852" t="s">
        <v>22</v>
      </c>
      <c s="1852" t="s">
        <v>1619</v>
      </c>
    </row>
    <row r="1172" spans="1:9" ht="11.25" customHeight="1">
      <c r="A1172" s="1852" t="s">
        <v>2247</v>
      </c>
      <c s="1852" t="s">
        <v>16</v>
      </c>
      <c s="1852" t="s">
        <v>4906</v>
      </c>
      <c s="1852" t="s">
        <v>4907</v>
      </c>
      <c s="1852" t="s">
        <v>4908</v>
      </c>
      <c s="1852" t="s">
        <v>2347</v>
      </c>
      <c s="1852" t="s">
        <v>4909</v>
      </c>
      <c s="1852" t="s">
        <v>22</v>
      </c>
      <c s="1852" t="s">
        <v>1619</v>
      </c>
    </row>
    <row r="1173" spans="1:9" ht="11.25" customHeight="1">
      <c r="A1173" s="1852" t="s">
        <v>2247</v>
      </c>
      <c s="1852" t="s">
        <v>16</v>
      </c>
      <c s="1852" t="s">
        <v>4415</v>
      </c>
      <c s="1852" t="s">
        <v>4412</v>
      </c>
      <c s="1852" t="s">
        <v>4416</v>
      </c>
      <c s="1852" t="s">
        <v>2620</v>
      </c>
      <c s="1852" t="s">
        <v>22</v>
      </c>
      <c s="1852" t="s">
        <v>22</v>
      </c>
      <c s="1852" t="s">
        <v>1619</v>
      </c>
    </row>
    <row r="1174" spans="1:9" ht="11.25" customHeight="1">
      <c r="A1174" s="1852" t="s">
        <v>2247</v>
      </c>
      <c s="1852" t="s">
        <v>16</v>
      </c>
      <c s="1852" t="s">
        <v>4910</v>
      </c>
      <c s="1852" t="s">
        <v>4911</v>
      </c>
      <c s="1852" t="s">
        <v>4912</v>
      </c>
      <c s="1852" t="s">
        <v>2659</v>
      </c>
      <c s="1852" t="s">
        <v>4913</v>
      </c>
      <c s="1852" t="s">
        <v>22</v>
      </c>
      <c s="1852" t="s">
        <v>1619</v>
      </c>
    </row>
    <row r="1175" spans="1:9" ht="11.25" customHeight="1">
      <c r="A1175" s="1852" t="s">
        <v>2247</v>
      </c>
      <c s="1852" t="s">
        <v>16</v>
      </c>
      <c s="1852" t="s">
        <v>4914</v>
      </c>
      <c s="1852" t="s">
        <v>4915</v>
      </c>
      <c s="1852" t="s">
        <v>4916</v>
      </c>
      <c s="1852" t="s">
        <v>4917</v>
      </c>
      <c s="1852" t="s">
        <v>4918</v>
      </c>
      <c s="1852" t="s">
        <v>22</v>
      </c>
      <c s="1852" t="s">
        <v>1619</v>
      </c>
    </row>
    <row r="1176" spans="1:9" ht="11.25" customHeight="1">
      <c r="A1176" s="1852" t="s">
        <v>2247</v>
      </c>
      <c s="1852" t="s">
        <v>16</v>
      </c>
      <c s="1852" t="s">
        <v>4919</v>
      </c>
      <c s="1852" t="s">
        <v>4920</v>
      </c>
      <c s="1852" t="s">
        <v>4921</v>
      </c>
      <c s="1852" t="s">
        <v>2347</v>
      </c>
      <c s="1852" t="s">
        <v>4922</v>
      </c>
      <c s="1852" t="s">
        <v>22</v>
      </c>
      <c s="1852" t="s">
        <v>1619</v>
      </c>
    </row>
    <row r="1177" spans="1:9" ht="11.25" customHeight="1">
      <c r="A1177" s="1852" t="s">
        <v>2247</v>
      </c>
      <c s="1852" t="s">
        <v>16</v>
      </c>
      <c s="1852" t="s">
        <v>4923</v>
      </c>
      <c s="1852" t="s">
        <v>4924</v>
      </c>
      <c s="1852" t="s">
        <v>4925</v>
      </c>
      <c s="1852" t="s">
        <v>4926</v>
      </c>
      <c s="1852" t="s">
        <v>22</v>
      </c>
      <c s="1852" t="s">
        <v>22</v>
      </c>
      <c s="1852" t="s">
        <v>1619</v>
      </c>
    </row>
    <row r="1178" spans="1:9" ht="11.25" customHeight="1">
      <c r="A1178" s="1852" t="s">
        <v>2247</v>
      </c>
      <c s="1852" t="s">
        <v>16</v>
      </c>
      <c s="1852" t="s">
        <v>4448</v>
      </c>
      <c s="1852" t="s">
        <v>4449</v>
      </c>
      <c s="1852" t="s">
        <v>4450</v>
      </c>
      <c s="1852" t="s">
        <v>2347</v>
      </c>
      <c s="1852" t="s">
        <v>4451</v>
      </c>
      <c s="1852" t="s">
        <v>22</v>
      </c>
      <c s="1852" t="s">
        <v>1619</v>
      </c>
    </row>
    <row r="1179" spans="1:9" ht="11.25" customHeight="1">
      <c r="A1179" s="1852" t="s">
        <v>2247</v>
      </c>
      <c s="1852" t="s">
        <v>16</v>
      </c>
      <c s="1852" t="s">
        <v>4927</v>
      </c>
      <c s="1852" t="s">
        <v>4928</v>
      </c>
      <c s="1852" t="s">
        <v>4929</v>
      </c>
      <c s="1852" t="s">
        <v>51</v>
      </c>
      <c s="1852" t="s">
        <v>4930</v>
      </c>
      <c s="1852" t="s">
        <v>22</v>
      </c>
      <c s="1852" t="s">
        <v>1619</v>
      </c>
    </row>
    <row r="1180" spans="1:9" ht="11.25" customHeight="1">
      <c r="A1180" s="1852" t="s">
        <v>2247</v>
      </c>
      <c s="1852" t="s">
        <v>16</v>
      </c>
      <c s="1852" t="s">
        <v>4931</v>
      </c>
      <c s="1852" t="s">
        <v>4932</v>
      </c>
      <c s="1852" t="s">
        <v>4933</v>
      </c>
      <c s="1852" t="s">
        <v>2277</v>
      </c>
      <c s="1852" t="s">
        <v>4934</v>
      </c>
      <c s="1852" t="s">
        <v>22</v>
      </c>
      <c s="1852" t="s">
        <v>1619</v>
      </c>
    </row>
    <row r="1181" spans="1:9" ht="11.25" customHeight="1">
      <c r="A1181" s="1852" t="s">
        <v>2247</v>
      </c>
      <c s="1852" t="s">
        <v>16</v>
      </c>
      <c s="1852" t="s">
        <v>4935</v>
      </c>
      <c s="1852" t="s">
        <v>4936</v>
      </c>
      <c s="1852" t="s">
        <v>4937</v>
      </c>
      <c s="1852" t="s">
        <v>4938</v>
      </c>
      <c s="1852" t="s">
        <v>4939</v>
      </c>
      <c s="1852" t="s">
        <v>22</v>
      </c>
      <c s="1852" t="s">
        <v>1619</v>
      </c>
    </row>
    <row r="1182" spans="1:9" ht="11.25" customHeight="1">
      <c r="A1182" s="1852" t="s">
        <v>2247</v>
      </c>
      <c s="1852" t="s">
        <v>16</v>
      </c>
      <c s="1852" t="s">
        <v>4940</v>
      </c>
      <c s="1852" t="s">
        <v>4941</v>
      </c>
      <c s="1852" t="s">
        <v>4942</v>
      </c>
      <c s="1852" t="s">
        <v>4943</v>
      </c>
      <c s="1852" t="s">
        <v>4944</v>
      </c>
      <c s="1852" t="s">
        <v>22</v>
      </c>
      <c s="1852" t="s">
        <v>1619</v>
      </c>
    </row>
    <row r="1183" spans="1:9" ht="11.25" customHeight="1">
      <c r="A1183" s="1852" t="s">
        <v>2247</v>
      </c>
      <c s="1852" t="s">
        <v>16</v>
      </c>
      <c s="1852" t="s">
        <v>4945</v>
      </c>
      <c s="1852" t="s">
        <v>4946</v>
      </c>
      <c s="1852" t="s">
        <v>4947</v>
      </c>
      <c s="1852" t="s">
        <v>2347</v>
      </c>
      <c s="1852" t="s">
        <v>22</v>
      </c>
      <c s="1852" t="s">
        <v>22</v>
      </c>
      <c s="1852" t="s">
        <v>1619</v>
      </c>
    </row>
    <row r="1184" spans="1:9" ht="11.25" customHeight="1">
      <c r="A1184" s="1852" t="s">
        <v>2247</v>
      </c>
      <c s="1852" t="s">
        <v>16</v>
      </c>
      <c s="1852" t="s">
        <v>4948</v>
      </c>
      <c s="1852" t="s">
        <v>4949</v>
      </c>
      <c s="1852" t="s">
        <v>4950</v>
      </c>
      <c s="1852" t="s">
        <v>4951</v>
      </c>
      <c s="1852" t="s">
        <v>4952</v>
      </c>
      <c s="1852" t="s">
        <v>22</v>
      </c>
      <c s="1852" t="s">
        <v>1619</v>
      </c>
    </row>
    <row r="1185" spans="1:9" ht="11.25" customHeight="1">
      <c r="A1185" s="1852" t="s">
        <v>2247</v>
      </c>
      <c s="1852" t="s">
        <v>16</v>
      </c>
      <c s="1852" t="s">
        <v>4953</v>
      </c>
      <c s="1852" t="s">
        <v>4954</v>
      </c>
      <c s="1852" t="s">
        <v>4955</v>
      </c>
      <c s="1852" t="s">
        <v>51</v>
      </c>
      <c s="1852" t="s">
        <v>4956</v>
      </c>
      <c s="1852" t="s">
        <v>22</v>
      </c>
      <c s="1852" t="s">
        <v>1619</v>
      </c>
    </row>
    <row r="1186" spans="1:9" ht="11.25" customHeight="1">
      <c r="A1186" s="1852" t="s">
        <v>2247</v>
      </c>
      <c s="1852" t="s">
        <v>16</v>
      </c>
      <c s="1852" t="s">
        <v>4957</v>
      </c>
      <c s="1852" t="s">
        <v>4958</v>
      </c>
      <c s="1852" t="s">
        <v>4959</v>
      </c>
      <c s="1852" t="s">
        <v>2708</v>
      </c>
      <c s="1852" t="s">
        <v>4960</v>
      </c>
      <c s="1852" t="s">
        <v>22</v>
      </c>
      <c s="1852" t="s">
        <v>1619</v>
      </c>
    </row>
    <row r="1187" spans="1:9" ht="11.25" customHeight="1">
      <c r="A1187" s="1852" t="s">
        <v>2247</v>
      </c>
      <c s="1852" t="s">
        <v>16</v>
      </c>
      <c s="1852" t="s">
        <v>4961</v>
      </c>
      <c s="1852" t="s">
        <v>4962</v>
      </c>
      <c s="1852" t="s">
        <v>4963</v>
      </c>
      <c s="1852" t="s">
        <v>2272</v>
      </c>
      <c s="1852" t="s">
        <v>4964</v>
      </c>
      <c s="1852" t="s">
        <v>22</v>
      </c>
      <c s="1852" t="s">
        <v>1619</v>
      </c>
    </row>
    <row r="1188" spans="1:9" ht="11.25" customHeight="1">
      <c r="A1188" s="1852" t="s">
        <v>2247</v>
      </c>
      <c s="1852" t="s">
        <v>16</v>
      </c>
      <c s="1852" t="s">
        <v>4965</v>
      </c>
      <c s="1852" t="s">
        <v>4966</v>
      </c>
      <c s="1852" t="s">
        <v>4967</v>
      </c>
      <c s="1852" t="s">
        <v>2347</v>
      </c>
      <c s="1852" t="s">
        <v>22</v>
      </c>
      <c s="1852" t="s">
        <v>22</v>
      </c>
      <c s="1852" t="s">
        <v>1619</v>
      </c>
    </row>
    <row r="1189" spans="1:9" ht="11.25" customHeight="1">
      <c r="A1189" s="1852" t="s">
        <v>2247</v>
      </c>
      <c s="1852" t="s">
        <v>16</v>
      </c>
      <c s="1852" t="s">
        <v>4968</v>
      </c>
      <c s="1852" t="s">
        <v>4969</v>
      </c>
      <c s="1852" t="s">
        <v>4970</v>
      </c>
      <c s="1852" t="s">
        <v>4971</v>
      </c>
      <c s="1852" t="s">
        <v>4972</v>
      </c>
      <c s="1852" t="s">
        <v>22</v>
      </c>
      <c s="1852" t="s">
        <v>1619</v>
      </c>
    </row>
    <row r="1190" spans="1:9" ht="11.25" customHeight="1">
      <c r="A1190" s="1852" t="s">
        <v>2247</v>
      </c>
      <c s="1852" t="s">
        <v>16</v>
      </c>
      <c s="1852" t="s">
        <v>4973</v>
      </c>
      <c s="1852" t="s">
        <v>4974</v>
      </c>
      <c s="1852" t="s">
        <v>4975</v>
      </c>
      <c s="1852" t="s">
        <v>2620</v>
      </c>
      <c s="1852" t="s">
        <v>22</v>
      </c>
      <c s="1852" t="s">
        <v>22</v>
      </c>
      <c s="1852" t="s">
        <v>1619</v>
      </c>
    </row>
    <row r="1191" spans="1:9" ht="11.25" customHeight="1">
      <c r="A1191" s="1852" t="s">
        <v>2247</v>
      </c>
      <c s="1852" t="s">
        <v>16</v>
      </c>
      <c s="1852" t="s">
        <v>4976</v>
      </c>
      <c s="1852" t="s">
        <v>4546</v>
      </c>
      <c s="1852" t="s">
        <v>4977</v>
      </c>
      <c s="1852" t="s">
        <v>2259</v>
      </c>
      <c s="1852" t="s">
        <v>4978</v>
      </c>
      <c s="1852" t="s">
        <v>22</v>
      </c>
      <c s="1852" t="s">
        <v>1619</v>
      </c>
    </row>
    <row r="1192" spans="1:9" ht="11.25" customHeight="1">
      <c r="A1192" s="1852" t="s">
        <v>2247</v>
      </c>
      <c s="1852" t="s">
        <v>16</v>
      </c>
      <c s="1852" t="s">
        <v>4979</v>
      </c>
      <c s="1852" t="s">
        <v>4980</v>
      </c>
      <c s="1852" t="s">
        <v>4981</v>
      </c>
      <c s="1852" t="s">
        <v>2347</v>
      </c>
      <c s="1852" t="s">
        <v>4982</v>
      </c>
      <c s="1852" t="s">
        <v>22</v>
      </c>
      <c s="1852" t="s">
        <v>1619</v>
      </c>
    </row>
    <row r="1193" spans="1:9" ht="11.25" customHeight="1">
      <c r="A1193" s="1852" t="s">
        <v>2247</v>
      </c>
      <c s="1852" t="s">
        <v>16</v>
      </c>
      <c s="1852" t="s">
        <v>4983</v>
      </c>
      <c s="1852" t="s">
        <v>4984</v>
      </c>
      <c s="1852" t="s">
        <v>4985</v>
      </c>
      <c s="1852" t="s">
        <v>2648</v>
      </c>
      <c s="1852" t="s">
        <v>4986</v>
      </c>
      <c s="1852" t="s">
        <v>22</v>
      </c>
      <c s="1852" t="s">
        <v>1619</v>
      </c>
    </row>
    <row r="1194" spans="1:9" ht="11.25" customHeight="1">
      <c r="A1194" s="1852" t="s">
        <v>2247</v>
      </c>
      <c s="1852" t="s">
        <v>16</v>
      </c>
      <c s="1852" t="s">
        <v>4987</v>
      </c>
      <c s="1852" t="s">
        <v>4988</v>
      </c>
      <c s="1852" t="s">
        <v>4989</v>
      </c>
      <c s="1852" t="s">
        <v>4990</v>
      </c>
      <c s="1852" t="s">
        <v>4991</v>
      </c>
      <c s="1852" t="s">
        <v>22</v>
      </c>
      <c s="1852" t="s">
        <v>1619</v>
      </c>
    </row>
    <row r="1195" spans="1:9" ht="11.25" customHeight="1">
      <c r="A1195" s="1852" t="s">
        <v>2247</v>
      </c>
      <c s="1852" t="s">
        <v>16</v>
      </c>
      <c s="1852" t="s">
        <v>4992</v>
      </c>
      <c s="1852" t="s">
        <v>4993</v>
      </c>
      <c s="1852" t="s">
        <v>4994</v>
      </c>
      <c s="1852" t="s">
        <v>4995</v>
      </c>
      <c s="1852" t="s">
        <v>4996</v>
      </c>
      <c s="1852" t="s">
        <v>22</v>
      </c>
      <c s="1852" t="s">
        <v>1619</v>
      </c>
    </row>
    <row r="1196" spans="1:9" ht="11.25" customHeight="1">
      <c r="A1196" s="1852" t="s">
        <v>2247</v>
      </c>
      <c s="1852" t="s">
        <v>16</v>
      </c>
      <c s="1852" t="s">
        <v>4997</v>
      </c>
      <c s="1852" t="s">
        <v>4998</v>
      </c>
      <c s="1852" t="s">
        <v>4999</v>
      </c>
      <c s="1852" t="s">
        <v>2259</v>
      </c>
      <c s="1852" t="s">
        <v>5000</v>
      </c>
      <c s="1852" t="s">
        <v>22</v>
      </c>
      <c s="1852" t="s">
        <v>1619</v>
      </c>
    </row>
    <row r="1197" spans="1:9" ht="11.25" customHeight="1">
      <c r="A1197" s="1852" t="s">
        <v>2247</v>
      </c>
      <c s="1852" t="s">
        <v>16</v>
      </c>
      <c s="1852" t="s">
        <v>5001</v>
      </c>
      <c s="1852" t="s">
        <v>4998</v>
      </c>
      <c s="1852" t="s">
        <v>5002</v>
      </c>
      <c s="1852" t="s">
        <v>2851</v>
      </c>
      <c s="1852" t="s">
        <v>5003</v>
      </c>
      <c s="1852" t="s">
        <v>22</v>
      </c>
      <c s="1852" t="s">
        <v>1619</v>
      </c>
    </row>
    <row r="1198" spans="1:9" ht="11.25" customHeight="1">
      <c r="A1198" s="1852" t="s">
        <v>2247</v>
      </c>
      <c s="1852" t="s">
        <v>16</v>
      </c>
      <c s="1852" t="s">
        <v>5004</v>
      </c>
      <c s="1852" t="s">
        <v>5005</v>
      </c>
      <c s="1852" t="s">
        <v>5006</v>
      </c>
      <c s="1852" t="s">
        <v>3148</v>
      </c>
      <c s="1852" t="s">
        <v>5007</v>
      </c>
      <c s="1852" t="s">
        <v>22</v>
      </c>
      <c s="1852" t="s">
        <v>1619</v>
      </c>
    </row>
    <row r="1199" spans="1:9" ht="11.25" customHeight="1">
      <c r="A1199" s="1852" t="s">
        <v>2247</v>
      </c>
      <c s="1852" t="s">
        <v>16</v>
      </c>
      <c s="1852" t="s">
        <v>5008</v>
      </c>
      <c s="1852" t="s">
        <v>5009</v>
      </c>
      <c s="1852" t="s">
        <v>5010</v>
      </c>
      <c s="1852" t="s">
        <v>5011</v>
      </c>
      <c s="1852" t="s">
        <v>5012</v>
      </c>
      <c s="1852" t="s">
        <v>22</v>
      </c>
      <c s="1852" t="s">
        <v>1619</v>
      </c>
    </row>
    <row r="1200" spans="1:9" ht="11.25" customHeight="1">
      <c r="A1200" s="1852" t="s">
        <v>2247</v>
      </c>
      <c s="1852" t="s">
        <v>16</v>
      </c>
      <c s="1852" t="s">
        <v>5013</v>
      </c>
      <c s="1852" t="s">
        <v>5014</v>
      </c>
      <c s="1852" t="s">
        <v>5015</v>
      </c>
      <c s="1852" t="s">
        <v>51</v>
      </c>
      <c s="1852" t="s">
        <v>5016</v>
      </c>
      <c s="1852" t="s">
        <v>22</v>
      </c>
      <c s="1852" t="s">
        <v>1619</v>
      </c>
    </row>
    <row r="1201" spans="1:9" ht="11.25" customHeight="1">
      <c r="A1201" s="1852" t="s">
        <v>2247</v>
      </c>
      <c s="1852" t="s">
        <v>16</v>
      </c>
      <c s="1852" t="s">
        <v>5017</v>
      </c>
      <c s="1852" t="s">
        <v>5018</v>
      </c>
      <c s="1852" t="s">
        <v>5019</v>
      </c>
      <c s="1852" t="s">
        <v>2286</v>
      </c>
      <c s="1852" t="s">
        <v>5020</v>
      </c>
      <c s="1852" t="s">
        <v>22</v>
      </c>
      <c s="1852" t="s">
        <v>1619</v>
      </c>
    </row>
    <row r="1202" spans="1:9" ht="11.25" customHeight="1">
      <c r="A1202" s="1852" t="s">
        <v>2247</v>
      </c>
      <c s="1852" t="s">
        <v>16</v>
      </c>
      <c s="1852" t="s">
        <v>5021</v>
      </c>
      <c s="1852" t="s">
        <v>5022</v>
      </c>
      <c s="1852" t="s">
        <v>5023</v>
      </c>
      <c s="1852" t="s">
        <v>5024</v>
      </c>
      <c s="1852" t="s">
        <v>22</v>
      </c>
      <c s="1852" t="s">
        <v>22</v>
      </c>
      <c s="1852" t="s">
        <v>1619</v>
      </c>
    </row>
    <row r="1203" spans="1:9" ht="11.25" customHeight="1">
      <c r="A1203" s="1852" t="s">
        <v>2247</v>
      </c>
      <c s="1852" t="s">
        <v>16</v>
      </c>
      <c s="1852" t="s">
        <v>5025</v>
      </c>
      <c s="1852" t="s">
        <v>5026</v>
      </c>
      <c s="1852" t="s">
        <v>5027</v>
      </c>
      <c s="1852" t="s">
        <v>2347</v>
      </c>
      <c s="1852" t="s">
        <v>5028</v>
      </c>
      <c s="1852" t="s">
        <v>22</v>
      </c>
      <c s="1852" t="s">
        <v>1619</v>
      </c>
    </row>
    <row r="1204" spans="1:9" ht="11.25" customHeight="1">
      <c r="A1204" s="1852" t="s">
        <v>2247</v>
      </c>
      <c s="1852" t="s">
        <v>16</v>
      </c>
      <c s="1852" t="s">
        <v>5029</v>
      </c>
      <c s="1852" t="s">
        <v>5030</v>
      </c>
      <c s="1852" t="s">
        <v>5031</v>
      </c>
      <c s="1852" t="s">
        <v>2272</v>
      </c>
      <c s="1852" t="s">
        <v>5032</v>
      </c>
      <c s="1852" t="s">
        <v>22</v>
      </c>
      <c s="1852" t="s">
        <v>1619</v>
      </c>
    </row>
    <row r="1205" spans="1:9" ht="11.25" customHeight="1">
      <c r="A1205" s="1852" t="s">
        <v>2247</v>
      </c>
      <c s="1852" t="s">
        <v>16</v>
      </c>
      <c s="1852" t="s">
        <v>5033</v>
      </c>
      <c s="1852" t="s">
        <v>5034</v>
      </c>
      <c s="1852" t="s">
        <v>5035</v>
      </c>
      <c s="1852" t="s">
        <v>51</v>
      </c>
      <c s="1852" t="s">
        <v>5036</v>
      </c>
      <c s="1852" t="s">
        <v>22</v>
      </c>
      <c s="1852" t="s">
        <v>1619</v>
      </c>
    </row>
    <row r="1206" spans="1:9" ht="11.25" customHeight="1">
      <c r="A1206" s="1852" t="s">
        <v>2247</v>
      </c>
      <c s="1852" t="s">
        <v>16</v>
      </c>
      <c s="1852" t="s">
        <v>5037</v>
      </c>
      <c s="1852" t="s">
        <v>5038</v>
      </c>
      <c s="1852" t="s">
        <v>5039</v>
      </c>
      <c s="1852" t="s">
        <v>5040</v>
      </c>
      <c s="1852" t="s">
        <v>22</v>
      </c>
      <c s="1852" t="s">
        <v>22</v>
      </c>
      <c s="1852" t="s">
        <v>1619</v>
      </c>
    </row>
    <row r="1207" spans="1:9" ht="11.25" customHeight="1">
      <c r="A1207" s="1852" t="s">
        <v>2247</v>
      </c>
      <c s="1852" t="s">
        <v>16</v>
      </c>
      <c s="1852" t="s">
        <v>5041</v>
      </c>
      <c s="1852" t="s">
        <v>5042</v>
      </c>
      <c s="1852" t="s">
        <v>5043</v>
      </c>
      <c s="1852" t="s">
        <v>2746</v>
      </c>
      <c s="1852" t="s">
        <v>5044</v>
      </c>
      <c s="1852" t="s">
        <v>22</v>
      </c>
      <c s="1852" t="s">
        <v>1619</v>
      </c>
    </row>
    <row r="1208" spans="1:9" ht="11.25" customHeight="1">
      <c r="A1208" s="1852" t="s">
        <v>2247</v>
      </c>
      <c s="1852" t="s">
        <v>16</v>
      </c>
      <c s="1852" t="s">
        <v>5045</v>
      </c>
      <c s="1852" t="s">
        <v>5046</v>
      </c>
      <c s="1852" t="s">
        <v>5047</v>
      </c>
      <c s="1852" t="s">
        <v>2347</v>
      </c>
      <c s="1852" t="s">
        <v>22</v>
      </c>
      <c s="1852" t="s">
        <v>22</v>
      </c>
      <c s="1852" t="s">
        <v>1619</v>
      </c>
    </row>
    <row r="1209" spans="1:9" ht="11.25" customHeight="1">
      <c r="A1209" s="1852" t="s">
        <v>2247</v>
      </c>
      <c s="1852" t="s">
        <v>16</v>
      </c>
      <c s="1852" t="s">
        <v>5048</v>
      </c>
      <c s="1852" t="s">
        <v>5049</v>
      </c>
      <c s="1852" t="s">
        <v>5050</v>
      </c>
      <c s="1852" t="s">
        <v>5051</v>
      </c>
      <c s="1852" t="s">
        <v>5052</v>
      </c>
      <c s="1852" t="s">
        <v>22</v>
      </c>
      <c s="1852" t="s">
        <v>1619</v>
      </c>
    </row>
    <row r="1210" spans="1:9" ht="11.25" customHeight="1">
      <c r="A1210" s="1852" t="s">
        <v>2247</v>
      </c>
      <c s="1852" t="s">
        <v>16</v>
      </c>
      <c s="1852" t="s">
        <v>5053</v>
      </c>
      <c s="1852" t="s">
        <v>5054</v>
      </c>
      <c s="1852" t="s">
        <v>5055</v>
      </c>
      <c s="1852" t="s">
        <v>2347</v>
      </c>
      <c s="1852" t="s">
        <v>22</v>
      </c>
      <c s="1852" t="s">
        <v>22</v>
      </c>
      <c s="1852" t="s">
        <v>1619</v>
      </c>
    </row>
    <row r="1211" spans="1:9" ht="11.25" customHeight="1">
      <c r="A1211" s="1852" t="s">
        <v>2247</v>
      </c>
      <c s="1852" t="s">
        <v>16</v>
      </c>
      <c s="1852" t="s">
        <v>5056</v>
      </c>
      <c s="1852" t="s">
        <v>5057</v>
      </c>
      <c s="1852" t="s">
        <v>5058</v>
      </c>
      <c s="1852" t="s">
        <v>2259</v>
      </c>
      <c s="1852" t="s">
        <v>5059</v>
      </c>
      <c s="1852" t="s">
        <v>22</v>
      </c>
      <c s="1852" t="s">
        <v>1619</v>
      </c>
    </row>
    <row r="1212" spans="1:9" ht="11.25" customHeight="1">
      <c r="A1212" s="1852" t="s">
        <v>2247</v>
      </c>
      <c s="1852" t="s">
        <v>16</v>
      </c>
      <c s="1852" t="s">
        <v>5060</v>
      </c>
      <c s="1852" t="s">
        <v>5061</v>
      </c>
      <c s="1852" t="s">
        <v>5062</v>
      </c>
      <c s="1852" t="s">
        <v>2591</v>
      </c>
      <c s="1852" t="s">
        <v>22</v>
      </c>
      <c s="1852" t="s">
        <v>22</v>
      </c>
      <c s="1852" t="s">
        <v>1619</v>
      </c>
    </row>
    <row r="1213" spans="1:9" ht="11.25" customHeight="1">
      <c r="A1213" s="1852" t="s">
        <v>2247</v>
      </c>
      <c s="1852" t="s">
        <v>16</v>
      </c>
      <c s="1852" t="s">
        <v>5063</v>
      </c>
      <c s="1852" t="s">
        <v>5064</v>
      </c>
      <c s="1852" t="s">
        <v>5065</v>
      </c>
      <c s="1852" t="s">
        <v>2272</v>
      </c>
      <c s="1852" t="s">
        <v>5066</v>
      </c>
      <c s="1852" t="s">
        <v>22</v>
      </c>
      <c s="1852" t="s">
        <v>1619</v>
      </c>
    </row>
    <row r="1214" spans="1:9" ht="11.25" customHeight="1">
      <c r="A1214" s="1852" t="s">
        <v>2247</v>
      </c>
      <c s="1852" t="s">
        <v>16</v>
      </c>
      <c s="1852" t="s">
        <v>5067</v>
      </c>
      <c s="1852" t="s">
        <v>5068</v>
      </c>
      <c s="1852" t="s">
        <v>5069</v>
      </c>
      <c s="1852" t="s">
        <v>2347</v>
      </c>
      <c s="1852" t="s">
        <v>5070</v>
      </c>
      <c s="1852" t="s">
        <v>22</v>
      </c>
      <c s="1852" t="s">
        <v>1619</v>
      </c>
    </row>
    <row r="1215" spans="1:9" ht="11.25" customHeight="1">
      <c r="A1215" s="1852" t="s">
        <v>2247</v>
      </c>
      <c s="1852" t="s">
        <v>16</v>
      </c>
      <c s="1852" t="s">
        <v>5071</v>
      </c>
      <c s="1852" t="s">
        <v>5072</v>
      </c>
      <c s="1852" t="s">
        <v>5073</v>
      </c>
      <c s="1852" t="s">
        <v>2357</v>
      </c>
      <c s="1852" t="s">
        <v>5074</v>
      </c>
      <c s="1852" t="s">
        <v>22</v>
      </c>
      <c s="1852" t="s">
        <v>1619</v>
      </c>
    </row>
    <row r="1216" spans="1:9" ht="11.25" customHeight="1">
      <c r="A1216" s="1852" t="s">
        <v>2247</v>
      </c>
      <c s="1852" t="s">
        <v>16</v>
      </c>
      <c s="1852" t="s">
        <v>4614</v>
      </c>
      <c s="1852" t="s">
        <v>4615</v>
      </c>
      <c s="1852" t="s">
        <v>4616</v>
      </c>
      <c s="1852" t="s">
        <v>4617</v>
      </c>
      <c s="1852" t="s">
        <v>4618</v>
      </c>
      <c s="1852" t="s">
        <v>22</v>
      </c>
      <c s="1852" t="s">
        <v>1619</v>
      </c>
    </row>
    <row r="1217" spans="1:9" ht="11.25" customHeight="1">
      <c r="A1217" s="1852" t="s">
        <v>2247</v>
      </c>
      <c s="1852" t="s">
        <v>16</v>
      </c>
      <c s="1852" t="s">
        <v>5075</v>
      </c>
      <c s="1852" t="s">
        <v>5076</v>
      </c>
      <c s="1852" t="s">
        <v>5077</v>
      </c>
      <c s="1852" t="s">
        <v>2262</v>
      </c>
      <c s="1852" t="s">
        <v>5078</v>
      </c>
      <c s="1852" t="s">
        <v>22</v>
      </c>
      <c s="1852" t="s">
        <v>1619</v>
      </c>
    </row>
    <row r="1218" spans="1:9" ht="11.25" customHeight="1">
      <c r="A1218" s="1852" t="s">
        <v>2247</v>
      </c>
      <c s="1852" t="s">
        <v>16</v>
      </c>
      <c s="1852" t="s">
        <v>4637</v>
      </c>
      <c s="1852" t="s">
        <v>4638</v>
      </c>
      <c s="1852" t="s">
        <v>4616</v>
      </c>
      <c s="1852" t="s">
        <v>51</v>
      </c>
      <c s="1852" t="s">
        <v>4639</v>
      </c>
      <c s="1852" t="s">
        <v>22</v>
      </c>
      <c s="1852"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32BF251-54EE-1838-8456-0.DE6D7DB3}"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2"/>
  </cols>
  <sheetData>
    <row r="1" spans="1:7" ht="11.25" customHeight="1">
      <c r="A1" s="375" t="s">
        <v>5079</v>
      </c>
      <c s="66" t="s">
        <v>5080</v>
      </c>
      <c s="66" t="s">
        <v>5081</v>
      </c>
      <c s="66" t="s">
        <v>5082</v>
      </c>
      <c s="64" t="s">
        <v>5083</v>
      </c>
      <c s="64" t="s">
        <v>5084</v>
      </c>
      <c s="64" t="s">
        <v>5085</v>
      </c>
    </row>
    <row r="2" spans="1:7" ht="11.25" customHeight="1">
      <c r="A2" s="375" t="s">
        <v>16</v>
      </c>
      <c t="s">
        <v>5086</v>
      </c>
      <c t="s">
        <v>5087</v>
      </c>
      <c t="s">
        <v>5086</v>
      </c>
      <c t="s">
        <v>5087</v>
      </c>
      <c t="s">
        <v>5088</v>
      </c>
      <c t="s">
        <v>109</v>
      </c>
    </row>
    <row r="3" spans="1:7" ht="11.25" customHeight="1">
      <c r="A3" s="375" t="s">
        <v>16</v>
      </c>
      <c t="s">
        <v>5086</v>
      </c>
      <c t="s">
        <v>5087</v>
      </c>
      <c t="s">
        <v>5089</v>
      </c>
      <c t="s">
        <v>5090</v>
      </c>
      <c t="s">
        <v>5091</v>
      </c>
      <c t="s">
        <v>110</v>
      </c>
    </row>
    <row r="4" spans="1:7" ht="11.25" customHeight="1">
      <c r="A4" s="375" t="s">
        <v>16</v>
      </c>
      <c t="s">
        <v>5086</v>
      </c>
      <c t="s">
        <v>5087</v>
      </c>
      <c t="s">
        <v>5092</v>
      </c>
      <c t="s">
        <v>5093</v>
      </c>
      <c t="s">
        <v>5094</v>
      </c>
      <c t="s">
        <v>89</v>
      </c>
    </row>
    <row r="5" spans="1:7" ht="11.25" customHeight="1">
      <c r="A5" s="375" t="s">
        <v>16</v>
      </c>
      <c t="s">
        <v>5086</v>
      </c>
      <c t="s">
        <v>5087</v>
      </c>
      <c t="s">
        <v>5095</v>
      </c>
      <c t="s">
        <v>5096</v>
      </c>
      <c t="s">
        <v>5097</v>
      </c>
      <c t="s">
        <v>90</v>
      </c>
    </row>
    <row r="6" spans="1:7" ht="11.25" customHeight="1">
      <c r="A6" s="375" t="s">
        <v>16</v>
      </c>
      <c t="s">
        <v>5086</v>
      </c>
      <c t="s">
        <v>5087</v>
      </c>
      <c t="s">
        <v>5098</v>
      </c>
      <c t="s">
        <v>5099</v>
      </c>
      <c t="s">
        <v>5097</v>
      </c>
      <c t="s">
        <v>111</v>
      </c>
    </row>
    <row r="7" spans="1:7" ht="11.25" customHeight="1">
      <c r="A7" s="375" t="s">
        <v>16</v>
      </c>
      <c t="s">
        <v>5086</v>
      </c>
      <c t="s">
        <v>5087</v>
      </c>
      <c t="s">
        <v>5100</v>
      </c>
      <c t="s">
        <v>5101</v>
      </c>
      <c t="s">
        <v>5097</v>
      </c>
      <c t="s">
        <v>91</v>
      </c>
    </row>
    <row r="8" spans="1:7" ht="11.25" customHeight="1">
      <c r="A8" s="375" t="s">
        <v>16</v>
      </c>
      <c t="s">
        <v>5086</v>
      </c>
      <c t="s">
        <v>5087</v>
      </c>
      <c t="s">
        <v>5102</v>
      </c>
      <c t="s">
        <v>5103</v>
      </c>
      <c t="s">
        <v>5097</v>
      </c>
      <c t="s">
        <v>92</v>
      </c>
    </row>
    <row r="9" spans="1:7" ht="11.25" customHeight="1">
      <c r="A9" s="375" t="s">
        <v>16</v>
      </c>
      <c t="s">
        <v>5086</v>
      </c>
      <c t="s">
        <v>5087</v>
      </c>
      <c t="s">
        <v>5104</v>
      </c>
      <c t="s">
        <v>5105</v>
      </c>
      <c t="s">
        <v>5097</v>
      </c>
      <c t="s">
        <v>112</v>
      </c>
    </row>
    <row r="10" spans="1:7" ht="11.25" customHeight="1">
      <c r="A10" s="375" t="s">
        <v>16</v>
      </c>
      <c t="s">
        <v>5086</v>
      </c>
      <c t="s">
        <v>5087</v>
      </c>
      <c t="s">
        <v>5106</v>
      </c>
      <c t="s">
        <v>5107</v>
      </c>
      <c t="s">
        <v>5097</v>
      </c>
      <c t="s">
        <v>150</v>
      </c>
    </row>
    <row r="11" spans="1:7" ht="11.25" customHeight="1">
      <c r="A11" s="375" t="s">
        <v>16</v>
      </c>
      <c t="s">
        <v>5108</v>
      </c>
      <c t="s">
        <v>5109</v>
      </c>
      <c t="s">
        <v>5108</v>
      </c>
      <c t="s">
        <v>5109</v>
      </c>
      <c t="s">
        <v>5088</v>
      </c>
      <c t="s">
        <v>151</v>
      </c>
    </row>
    <row r="12" spans="1:7" ht="11.25" customHeight="1">
      <c r="A12" s="375" t="s">
        <v>16</v>
      </c>
      <c t="s">
        <v>5108</v>
      </c>
      <c t="s">
        <v>5109</v>
      </c>
      <c t="s">
        <v>5110</v>
      </c>
      <c t="s">
        <v>5111</v>
      </c>
      <c t="s">
        <v>5091</v>
      </c>
      <c t="s">
        <v>152</v>
      </c>
    </row>
    <row r="13" spans="1:7" ht="11.25" customHeight="1">
      <c r="A13" s="375" t="s">
        <v>16</v>
      </c>
      <c t="s">
        <v>5108</v>
      </c>
      <c t="s">
        <v>5109</v>
      </c>
      <c t="s">
        <v>5112</v>
      </c>
      <c t="s">
        <v>5113</v>
      </c>
      <c t="s">
        <v>5097</v>
      </c>
      <c t="s">
        <v>153</v>
      </c>
    </row>
    <row r="14" spans="1:7" ht="11.25" customHeight="1">
      <c r="A14" s="375" t="s">
        <v>16</v>
      </c>
      <c t="s">
        <v>5108</v>
      </c>
      <c t="s">
        <v>5109</v>
      </c>
      <c t="s">
        <v>5114</v>
      </c>
      <c t="s">
        <v>5115</v>
      </c>
      <c t="s">
        <v>5097</v>
      </c>
      <c t="s">
        <v>154</v>
      </c>
    </row>
    <row r="15" spans="1:7" ht="11.25" customHeight="1">
      <c r="A15" s="375" t="s">
        <v>16</v>
      </c>
      <c t="s">
        <v>5108</v>
      </c>
      <c t="s">
        <v>5109</v>
      </c>
      <c t="s">
        <v>5116</v>
      </c>
      <c t="s">
        <v>5117</v>
      </c>
      <c t="s">
        <v>5097</v>
      </c>
      <c t="s">
        <v>155</v>
      </c>
    </row>
    <row r="16" spans="1:7" ht="11.25" customHeight="1">
      <c r="A16" s="375" t="s">
        <v>16</v>
      </c>
      <c t="s">
        <v>5108</v>
      </c>
      <c t="s">
        <v>5109</v>
      </c>
      <c t="s">
        <v>5118</v>
      </c>
      <c t="s">
        <v>5119</v>
      </c>
      <c t="s">
        <v>5097</v>
      </c>
      <c t="s">
        <v>1463</v>
      </c>
    </row>
    <row r="17" spans="1:7" ht="11.25" customHeight="1">
      <c r="A17" s="375" t="s">
        <v>16</v>
      </c>
      <c t="s">
        <v>5108</v>
      </c>
      <c t="s">
        <v>5109</v>
      </c>
      <c t="s">
        <v>5120</v>
      </c>
      <c t="s">
        <v>5121</v>
      </c>
      <c t="s">
        <v>5094</v>
      </c>
      <c t="s">
        <v>1469</v>
      </c>
    </row>
    <row r="18" spans="1:7" ht="11.25" customHeight="1">
      <c r="A18" s="375" t="s">
        <v>16</v>
      </c>
      <c t="s">
        <v>5108</v>
      </c>
      <c t="s">
        <v>5109</v>
      </c>
      <c t="s">
        <v>5122</v>
      </c>
      <c t="s">
        <v>5123</v>
      </c>
      <c t="s">
        <v>5097</v>
      </c>
      <c t="s">
        <v>1481</v>
      </c>
    </row>
    <row r="19" spans="1:7" ht="11.25" customHeight="1">
      <c r="A19" s="375" t="s">
        <v>16</v>
      </c>
      <c t="s">
        <v>5108</v>
      </c>
      <c t="s">
        <v>5109</v>
      </c>
      <c t="s">
        <v>5124</v>
      </c>
      <c t="s">
        <v>5125</v>
      </c>
      <c t="s">
        <v>5097</v>
      </c>
      <c t="s">
        <v>1495</v>
      </c>
    </row>
    <row r="20" spans="1:7" ht="11.25" customHeight="1">
      <c r="A20" s="375" t="s">
        <v>16</v>
      </c>
      <c t="s">
        <v>5108</v>
      </c>
      <c t="s">
        <v>5109</v>
      </c>
      <c t="s">
        <v>5126</v>
      </c>
      <c t="s">
        <v>5127</v>
      </c>
      <c t="s">
        <v>5097</v>
      </c>
      <c t="s">
        <v>1507</v>
      </c>
    </row>
    <row r="21" spans="1:7" ht="11.25" customHeight="1">
      <c r="A21" s="375" t="s">
        <v>16</v>
      </c>
      <c t="s">
        <v>5108</v>
      </c>
      <c t="s">
        <v>5109</v>
      </c>
      <c t="s">
        <v>5128</v>
      </c>
      <c t="s">
        <v>5129</v>
      </c>
      <c t="s">
        <v>5097</v>
      </c>
      <c t="s">
        <v>1516</v>
      </c>
    </row>
    <row r="22" spans="1:7" ht="11.25" customHeight="1">
      <c r="A22" s="375" t="s">
        <v>16</v>
      </c>
      <c t="s">
        <v>5108</v>
      </c>
      <c t="s">
        <v>5109</v>
      </c>
      <c t="s">
        <v>5130</v>
      </c>
      <c t="s">
        <v>5131</v>
      </c>
      <c t="s">
        <v>5091</v>
      </c>
      <c t="s">
        <v>1532</v>
      </c>
    </row>
    <row r="23" spans="1:7" ht="11.25" customHeight="1">
      <c r="A23" s="375" t="s">
        <v>16</v>
      </c>
      <c t="s">
        <v>5108</v>
      </c>
      <c t="s">
        <v>5109</v>
      </c>
      <c t="s">
        <v>5132</v>
      </c>
      <c t="s">
        <v>5133</v>
      </c>
      <c t="s">
        <v>5097</v>
      </c>
      <c t="s">
        <v>1539</v>
      </c>
    </row>
    <row r="24" spans="1:7" ht="11.25" customHeight="1">
      <c r="A24" s="375" t="s">
        <v>16</v>
      </c>
      <c t="s">
        <v>5134</v>
      </c>
      <c t="s">
        <v>5135</v>
      </c>
      <c t="s">
        <v>5134</v>
      </c>
      <c t="s">
        <v>5135</v>
      </c>
      <c t="s">
        <v>5088</v>
      </c>
      <c t="s">
        <v>1547</v>
      </c>
    </row>
    <row r="25" spans="1:7" ht="11.25" customHeight="1">
      <c r="A25" s="375" t="s">
        <v>16</v>
      </c>
      <c t="s">
        <v>5134</v>
      </c>
      <c t="s">
        <v>5135</v>
      </c>
      <c t="s">
        <v>5136</v>
      </c>
      <c t="s">
        <v>5137</v>
      </c>
      <c t="s">
        <v>5097</v>
      </c>
      <c t="s">
        <v>1554</v>
      </c>
    </row>
    <row r="26" spans="1:7" ht="11.25" customHeight="1">
      <c r="A26" s="375" t="s">
        <v>16</v>
      </c>
      <c t="s">
        <v>5134</v>
      </c>
      <c t="s">
        <v>5135</v>
      </c>
      <c t="s">
        <v>5138</v>
      </c>
      <c t="s">
        <v>5139</v>
      </c>
      <c t="s">
        <v>5097</v>
      </c>
      <c t="s">
        <v>1558</v>
      </c>
    </row>
    <row r="27" spans="1:7" ht="11.25" customHeight="1">
      <c r="A27" s="375" t="s">
        <v>16</v>
      </c>
      <c t="s">
        <v>5134</v>
      </c>
      <c t="s">
        <v>5135</v>
      </c>
      <c t="s">
        <v>5140</v>
      </c>
      <c t="s">
        <v>5141</v>
      </c>
      <c t="s">
        <v>5097</v>
      </c>
      <c t="s">
        <v>1563</v>
      </c>
    </row>
    <row r="28" spans="1:7" ht="11.25" customHeight="1">
      <c r="A28" s="375" t="s">
        <v>16</v>
      </c>
      <c t="s">
        <v>5134</v>
      </c>
      <c t="s">
        <v>5135</v>
      </c>
      <c t="s">
        <v>5142</v>
      </c>
      <c t="s">
        <v>5143</v>
      </c>
      <c t="s">
        <v>5097</v>
      </c>
      <c t="s">
        <v>1571</v>
      </c>
    </row>
    <row r="29" spans="1:7" ht="11.25" customHeight="1">
      <c r="A29" s="375" t="s">
        <v>16</v>
      </c>
      <c t="s">
        <v>5144</v>
      </c>
      <c t="s">
        <v>5145</v>
      </c>
      <c t="s">
        <v>5144</v>
      </c>
      <c t="s">
        <v>5145</v>
      </c>
      <c t="s">
        <v>5088</v>
      </c>
      <c t="s">
        <v>1572</v>
      </c>
    </row>
    <row r="30" spans="1:7" ht="11.25" customHeight="1">
      <c r="A30" s="375" t="s">
        <v>16</v>
      </c>
      <c t="s">
        <v>5144</v>
      </c>
      <c t="s">
        <v>5145</v>
      </c>
      <c t="s">
        <v>5146</v>
      </c>
      <c t="s">
        <v>5147</v>
      </c>
      <c t="s">
        <v>5091</v>
      </c>
      <c t="s">
        <v>1575</v>
      </c>
    </row>
    <row r="31" spans="1:7" ht="11.25" customHeight="1">
      <c r="A31" s="375" t="s">
        <v>16</v>
      </c>
      <c t="s">
        <v>5144</v>
      </c>
      <c t="s">
        <v>5145</v>
      </c>
      <c t="s">
        <v>5148</v>
      </c>
      <c t="s">
        <v>5149</v>
      </c>
      <c t="s">
        <v>5097</v>
      </c>
      <c t="s">
        <v>1581</v>
      </c>
    </row>
    <row r="32" spans="1:7" ht="11.25" customHeight="1">
      <c r="A32" s="375" t="s">
        <v>16</v>
      </c>
      <c t="s">
        <v>5144</v>
      </c>
      <c t="s">
        <v>5145</v>
      </c>
      <c t="s">
        <v>5150</v>
      </c>
      <c t="s">
        <v>5151</v>
      </c>
      <c t="s">
        <v>5097</v>
      </c>
      <c t="s">
        <v>1583</v>
      </c>
    </row>
    <row r="33" spans="1:7" ht="11.25" customHeight="1">
      <c r="A33" s="375" t="s">
        <v>16</v>
      </c>
      <c t="s">
        <v>5144</v>
      </c>
      <c t="s">
        <v>5145</v>
      </c>
      <c t="s">
        <v>5152</v>
      </c>
      <c t="s">
        <v>5153</v>
      </c>
      <c t="s">
        <v>5097</v>
      </c>
      <c t="s">
        <v>1585</v>
      </c>
    </row>
    <row r="34" spans="1:7" ht="11.25" customHeight="1">
      <c r="A34" s="375" t="s">
        <v>16</v>
      </c>
      <c t="s">
        <v>5144</v>
      </c>
      <c t="s">
        <v>5145</v>
      </c>
      <c t="s">
        <v>5154</v>
      </c>
      <c t="s">
        <v>5155</v>
      </c>
      <c t="s">
        <v>5097</v>
      </c>
      <c t="s">
        <v>1587</v>
      </c>
    </row>
    <row r="35" spans="1:7" ht="11.25" customHeight="1">
      <c r="A35" s="375" t="s">
        <v>16</v>
      </c>
      <c t="s">
        <v>5144</v>
      </c>
      <c t="s">
        <v>5145</v>
      </c>
      <c t="s">
        <v>5156</v>
      </c>
      <c t="s">
        <v>5157</v>
      </c>
      <c t="s">
        <v>5097</v>
      </c>
      <c t="s">
        <v>1592</v>
      </c>
    </row>
    <row r="36" spans="1:7" ht="11.25" customHeight="1">
      <c r="A36" s="375" t="s">
        <v>16</v>
      </c>
      <c t="s">
        <v>5144</v>
      </c>
      <c t="s">
        <v>5145</v>
      </c>
      <c t="s">
        <v>5158</v>
      </c>
      <c t="s">
        <v>5159</v>
      </c>
      <c t="s">
        <v>5097</v>
      </c>
      <c t="s">
        <v>1597</v>
      </c>
    </row>
    <row r="37" spans="1:7" ht="11.25" customHeight="1">
      <c r="A37" s="375" t="s">
        <v>16</v>
      </c>
      <c t="s">
        <v>5144</v>
      </c>
      <c t="s">
        <v>5145</v>
      </c>
      <c t="s">
        <v>5160</v>
      </c>
      <c t="s">
        <v>5161</v>
      </c>
      <c t="s">
        <v>5097</v>
      </c>
      <c t="s">
        <v>1601</v>
      </c>
    </row>
    <row r="38" spans="1:7" ht="11.25" customHeight="1">
      <c r="A38" s="375" t="s">
        <v>16</v>
      </c>
      <c t="s">
        <v>5144</v>
      </c>
      <c t="s">
        <v>5145</v>
      </c>
      <c t="s">
        <v>5132</v>
      </c>
      <c t="s">
        <v>5162</v>
      </c>
      <c t="s">
        <v>5097</v>
      </c>
      <c t="s">
        <v>1609</v>
      </c>
    </row>
    <row r="39" spans="1:7" ht="11.25" customHeight="1">
      <c r="A39" s="375" t="s">
        <v>16</v>
      </c>
      <c t="s">
        <v>5144</v>
      </c>
      <c t="s">
        <v>5145</v>
      </c>
      <c t="s">
        <v>5163</v>
      </c>
      <c t="s">
        <v>5164</v>
      </c>
      <c t="s">
        <v>5097</v>
      </c>
      <c t="s">
        <v>1615</v>
      </c>
    </row>
    <row r="40" spans="1:7" ht="11.25" customHeight="1">
      <c r="A40" s="375" t="s">
        <v>16</v>
      </c>
      <c t="s">
        <v>5144</v>
      </c>
      <c t="s">
        <v>5145</v>
      </c>
      <c t="s">
        <v>5165</v>
      </c>
      <c t="s">
        <v>5166</v>
      </c>
      <c t="s">
        <v>5097</v>
      </c>
      <c t="s">
        <v>1620</v>
      </c>
    </row>
    <row r="41" spans="1:7" ht="11.25" customHeight="1">
      <c r="A41" s="375" t="s">
        <v>16</v>
      </c>
      <c t="s">
        <v>5167</v>
      </c>
      <c t="s">
        <v>5168</v>
      </c>
      <c t="s">
        <v>5169</v>
      </c>
      <c t="s">
        <v>5170</v>
      </c>
      <c t="s">
        <v>5097</v>
      </c>
      <c t="s">
        <v>1624</v>
      </c>
    </row>
    <row r="42" spans="1:7" ht="11.25" customHeight="1">
      <c r="A42" s="375" t="s">
        <v>16</v>
      </c>
      <c t="s">
        <v>5167</v>
      </c>
      <c t="s">
        <v>5168</v>
      </c>
      <c t="s">
        <v>5171</v>
      </c>
      <c t="s">
        <v>5172</v>
      </c>
      <c t="s">
        <v>5097</v>
      </c>
      <c t="s">
        <v>1627</v>
      </c>
    </row>
    <row r="43" spans="1:7" ht="11.25" customHeight="1">
      <c r="A43" s="375" t="s">
        <v>16</v>
      </c>
      <c t="s">
        <v>5167</v>
      </c>
      <c t="s">
        <v>5168</v>
      </c>
      <c t="s">
        <v>5167</v>
      </c>
      <c t="s">
        <v>5168</v>
      </c>
      <c t="s">
        <v>5088</v>
      </c>
      <c t="s">
        <v>1634</v>
      </c>
    </row>
    <row r="44" spans="1:7" ht="11.25" customHeight="1">
      <c r="A44" s="375" t="s">
        <v>16</v>
      </c>
      <c t="s">
        <v>5167</v>
      </c>
      <c t="s">
        <v>5168</v>
      </c>
      <c t="s">
        <v>5173</v>
      </c>
      <c t="s">
        <v>5174</v>
      </c>
      <c t="s">
        <v>5097</v>
      </c>
      <c t="s">
        <v>1643</v>
      </c>
    </row>
    <row r="45" spans="1:7" ht="11.25" customHeight="1">
      <c r="A45" s="375" t="s">
        <v>16</v>
      </c>
      <c t="s">
        <v>5167</v>
      </c>
      <c t="s">
        <v>5168</v>
      </c>
      <c t="s">
        <v>5175</v>
      </c>
      <c t="s">
        <v>5176</v>
      </c>
      <c t="s">
        <v>5097</v>
      </c>
      <c t="s">
        <v>1648</v>
      </c>
    </row>
    <row r="46" spans="1:7" ht="11.25" customHeight="1">
      <c r="A46" s="375" t="s">
        <v>16</v>
      </c>
      <c t="s">
        <v>5167</v>
      </c>
      <c t="s">
        <v>5168</v>
      </c>
      <c t="s">
        <v>5177</v>
      </c>
      <c t="s">
        <v>5178</v>
      </c>
      <c t="s">
        <v>5097</v>
      </c>
      <c t="s">
        <v>1651</v>
      </c>
    </row>
    <row r="47" spans="1:7" ht="11.25" customHeight="1">
      <c r="A47" s="375" t="s">
        <v>16</v>
      </c>
      <c t="s">
        <v>5167</v>
      </c>
      <c t="s">
        <v>5168</v>
      </c>
      <c t="s">
        <v>5179</v>
      </c>
      <c t="s">
        <v>5180</v>
      </c>
      <c t="s">
        <v>5097</v>
      </c>
      <c t="s">
        <v>1657</v>
      </c>
    </row>
    <row r="48" spans="1:7" ht="11.25" customHeight="1">
      <c r="A48" s="375" t="s">
        <v>16</v>
      </c>
      <c t="s">
        <v>5167</v>
      </c>
      <c t="s">
        <v>5168</v>
      </c>
      <c t="s">
        <v>5181</v>
      </c>
      <c t="s">
        <v>5182</v>
      </c>
      <c t="s">
        <v>5097</v>
      </c>
      <c t="s">
        <v>1662</v>
      </c>
    </row>
    <row r="49" spans="1:7" ht="11.25" customHeight="1">
      <c r="A49" s="375" t="s">
        <v>16</v>
      </c>
      <c t="s">
        <v>5167</v>
      </c>
      <c t="s">
        <v>5168</v>
      </c>
      <c t="s">
        <v>5183</v>
      </c>
      <c t="s">
        <v>5184</v>
      </c>
      <c t="s">
        <v>5097</v>
      </c>
      <c t="s">
        <v>1665</v>
      </c>
    </row>
    <row r="50" spans="1:7" ht="11.25" customHeight="1">
      <c r="A50" s="375" t="s">
        <v>16</v>
      </c>
      <c t="s">
        <v>5185</v>
      </c>
      <c t="s">
        <v>5186</v>
      </c>
      <c t="s">
        <v>5187</v>
      </c>
      <c t="s">
        <v>5188</v>
      </c>
      <c t="s">
        <v>5097</v>
      </c>
      <c t="s">
        <v>1669</v>
      </c>
    </row>
    <row r="51" spans="1:7" ht="11.25" customHeight="1">
      <c r="A51" s="375" t="s">
        <v>16</v>
      </c>
      <c t="s">
        <v>5185</v>
      </c>
      <c t="s">
        <v>5186</v>
      </c>
      <c t="s">
        <v>5189</v>
      </c>
      <c t="s">
        <v>5190</v>
      </c>
      <c t="s">
        <v>5097</v>
      </c>
      <c t="s">
        <v>1674</v>
      </c>
    </row>
    <row r="52" spans="1:7" ht="11.25" customHeight="1">
      <c r="A52" s="375" t="s">
        <v>16</v>
      </c>
      <c t="s">
        <v>5185</v>
      </c>
      <c t="s">
        <v>5186</v>
      </c>
      <c t="s">
        <v>5191</v>
      </c>
      <c t="s">
        <v>5192</v>
      </c>
      <c t="s">
        <v>5097</v>
      </c>
      <c t="s">
        <v>1678</v>
      </c>
    </row>
    <row r="53" spans="1:7" ht="11.25" customHeight="1">
      <c r="A53" s="375" t="s">
        <v>16</v>
      </c>
      <c t="s">
        <v>5185</v>
      </c>
      <c t="s">
        <v>5186</v>
      </c>
      <c t="s">
        <v>5193</v>
      </c>
      <c t="s">
        <v>5194</v>
      </c>
      <c t="s">
        <v>5097</v>
      </c>
      <c t="s">
        <v>1680</v>
      </c>
    </row>
    <row r="54" spans="1:7" ht="11.25" customHeight="1">
      <c r="A54" s="375" t="s">
        <v>16</v>
      </c>
      <c t="s">
        <v>5185</v>
      </c>
      <c t="s">
        <v>5186</v>
      </c>
      <c t="s">
        <v>5185</v>
      </c>
      <c t="s">
        <v>5186</v>
      </c>
      <c t="s">
        <v>5088</v>
      </c>
      <c t="s">
        <v>1683</v>
      </c>
    </row>
    <row r="55" spans="1:7" ht="11.25" customHeight="1">
      <c r="A55" s="375" t="s">
        <v>16</v>
      </c>
      <c t="s">
        <v>5185</v>
      </c>
      <c t="s">
        <v>5186</v>
      </c>
      <c t="s">
        <v>5195</v>
      </c>
      <c t="s">
        <v>5196</v>
      </c>
      <c t="s">
        <v>5097</v>
      </c>
      <c t="s">
        <v>1687</v>
      </c>
    </row>
    <row r="56" spans="1:7" ht="11.25" customHeight="1">
      <c r="A56" s="375" t="s">
        <v>16</v>
      </c>
      <c t="s">
        <v>5185</v>
      </c>
      <c t="s">
        <v>5186</v>
      </c>
      <c t="s">
        <v>5197</v>
      </c>
      <c t="s">
        <v>5198</v>
      </c>
      <c t="s">
        <v>5097</v>
      </c>
      <c t="s">
        <v>1690</v>
      </c>
    </row>
    <row r="57" spans="1:7" ht="11.25" customHeight="1">
      <c r="A57" s="375" t="s">
        <v>16</v>
      </c>
      <c t="s">
        <v>5185</v>
      </c>
      <c t="s">
        <v>5186</v>
      </c>
      <c t="s">
        <v>5199</v>
      </c>
      <c t="s">
        <v>5200</v>
      </c>
      <c t="s">
        <v>5097</v>
      </c>
      <c t="s">
        <v>1693</v>
      </c>
    </row>
    <row r="58" spans="1:7" ht="11.25" customHeight="1">
      <c r="A58" s="375" t="s">
        <v>16</v>
      </c>
      <c t="s">
        <v>5185</v>
      </c>
      <c t="s">
        <v>5186</v>
      </c>
      <c t="s">
        <v>5201</v>
      </c>
      <c t="s">
        <v>5202</v>
      </c>
      <c t="s">
        <v>5097</v>
      </c>
      <c t="s">
        <v>1696</v>
      </c>
    </row>
    <row r="59" spans="1:7" ht="11.25" customHeight="1">
      <c r="A59" s="375" t="s">
        <v>16</v>
      </c>
      <c t="s">
        <v>5185</v>
      </c>
      <c t="s">
        <v>5186</v>
      </c>
      <c t="s">
        <v>5203</v>
      </c>
      <c t="s">
        <v>5204</v>
      </c>
      <c t="s">
        <v>5097</v>
      </c>
      <c t="s">
        <v>1700</v>
      </c>
    </row>
    <row r="60" spans="1:7" ht="11.25" customHeight="1">
      <c r="A60" s="375" t="s">
        <v>16</v>
      </c>
      <c t="s">
        <v>5185</v>
      </c>
      <c t="s">
        <v>5186</v>
      </c>
      <c t="s">
        <v>5205</v>
      </c>
      <c t="s">
        <v>5206</v>
      </c>
      <c t="s">
        <v>5097</v>
      </c>
      <c t="s">
        <v>1703</v>
      </c>
    </row>
    <row r="61" spans="1:7" ht="11.25" customHeight="1">
      <c r="A61" s="375" t="s">
        <v>16</v>
      </c>
      <c t="s">
        <v>5207</v>
      </c>
      <c t="s">
        <v>5208</v>
      </c>
      <c t="s">
        <v>5207</v>
      </c>
      <c t="s">
        <v>5208</v>
      </c>
      <c t="s">
        <v>5209</v>
      </c>
      <c t="s">
        <v>5210</v>
      </c>
    </row>
    <row r="62" spans="1:7" ht="11.25" customHeight="1">
      <c r="A62" s="375" t="s">
        <v>16</v>
      </c>
      <c t="s">
        <v>5211</v>
      </c>
      <c t="s">
        <v>5212</v>
      </c>
      <c t="s">
        <v>5211</v>
      </c>
      <c t="s">
        <v>5212</v>
      </c>
      <c t="s">
        <v>5209</v>
      </c>
      <c t="s">
        <v>5213</v>
      </c>
    </row>
    <row r="63" spans="1:7" ht="11.25" customHeight="1">
      <c r="A63" s="375" t="s">
        <v>16</v>
      </c>
      <c t="s">
        <v>5214</v>
      </c>
      <c t="s">
        <v>5215</v>
      </c>
      <c t="s">
        <v>5214</v>
      </c>
      <c t="s">
        <v>5215</v>
      </c>
      <c t="s">
        <v>5209</v>
      </c>
      <c t="s">
        <v>5216</v>
      </c>
    </row>
    <row r="64" spans="1:7" ht="11.25" customHeight="1">
      <c r="A64" s="375" t="s">
        <v>16</v>
      </c>
      <c t="s">
        <v>5217</v>
      </c>
      <c t="s">
        <v>5218</v>
      </c>
      <c t="s">
        <v>5217</v>
      </c>
      <c t="s">
        <v>5218</v>
      </c>
      <c t="s">
        <v>5209</v>
      </c>
      <c t="s">
        <v>5219</v>
      </c>
    </row>
    <row r="65" spans="1:7" ht="11.25" customHeight="1">
      <c r="A65" s="375" t="s">
        <v>16</v>
      </c>
      <c t="s">
        <v>5220</v>
      </c>
      <c t="s">
        <v>5221</v>
      </c>
      <c t="s">
        <v>5220</v>
      </c>
      <c t="s">
        <v>5221</v>
      </c>
      <c t="s">
        <v>5209</v>
      </c>
      <c t="s">
        <v>5222</v>
      </c>
    </row>
    <row r="66" spans="1:7" ht="11.25" customHeight="1">
      <c r="A66" s="375" t="s">
        <v>16</v>
      </c>
      <c t="s">
        <v>5223</v>
      </c>
      <c t="s">
        <v>5224</v>
      </c>
      <c t="s">
        <v>5223</v>
      </c>
      <c t="s">
        <v>5224</v>
      </c>
      <c t="s">
        <v>5209</v>
      </c>
      <c t="s">
        <v>5225</v>
      </c>
    </row>
    <row r="67" spans="1:7" ht="11.25" customHeight="1">
      <c r="A67" s="375" t="s">
        <v>16</v>
      </c>
      <c t="s">
        <v>5226</v>
      </c>
      <c t="s">
        <v>5227</v>
      </c>
      <c t="s">
        <v>5228</v>
      </c>
      <c t="s">
        <v>5229</v>
      </c>
      <c t="s">
        <v>5097</v>
      </c>
      <c t="s">
        <v>2021</v>
      </c>
    </row>
    <row r="68" spans="1:7" ht="11.25" customHeight="1">
      <c r="A68" s="375" t="s">
        <v>16</v>
      </c>
      <c t="s">
        <v>5226</v>
      </c>
      <c t="s">
        <v>5227</v>
      </c>
      <c t="s">
        <v>5230</v>
      </c>
      <c t="s">
        <v>5231</v>
      </c>
      <c t="s">
        <v>5094</v>
      </c>
      <c t="s">
        <v>5232</v>
      </c>
    </row>
    <row r="69" spans="1:7" ht="11.25" customHeight="1">
      <c r="A69" s="375" t="s">
        <v>16</v>
      </c>
      <c t="s">
        <v>5226</v>
      </c>
      <c t="s">
        <v>5227</v>
      </c>
      <c t="s">
        <v>5226</v>
      </c>
      <c t="s">
        <v>5227</v>
      </c>
      <c t="s">
        <v>5088</v>
      </c>
      <c t="s">
        <v>2224</v>
      </c>
    </row>
    <row r="70" spans="1:7" ht="11.25" customHeight="1">
      <c r="A70" s="375" t="s">
        <v>16</v>
      </c>
      <c t="s">
        <v>5226</v>
      </c>
      <c t="s">
        <v>5227</v>
      </c>
      <c t="s">
        <v>5233</v>
      </c>
      <c t="s">
        <v>5234</v>
      </c>
      <c t="s">
        <v>5091</v>
      </c>
      <c t="s">
        <v>5235</v>
      </c>
    </row>
    <row r="71" spans="1:7" ht="11.25" customHeight="1">
      <c r="A71" s="375" t="s">
        <v>16</v>
      </c>
      <c t="s">
        <v>5226</v>
      </c>
      <c t="s">
        <v>5227</v>
      </c>
      <c t="s">
        <v>5236</v>
      </c>
      <c t="s">
        <v>5237</v>
      </c>
      <c t="s">
        <v>5097</v>
      </c>
      <c t="s">
        <v>5238</v>
      </c>
    </row>
    <row r="72" spans="1:7" ht="11.25" customHeight="1">
      <c r="A72" s="375" t="s">
        <v>16</v>
      </c>
      <c t="s">
        <v>5226</v>
      </c>
      <c t="s">
        <v>5227</v>
      </c>
      <c t="s">
        <v>5239</v>
      </c>
      <c t="s">
        <v>5240</v>
      </c>
      <c t="s">
        <v>5094</v>
      </c>
      <c t="s">
        <v>5241</v>
      </c>
    </row>
    <row r="73" spans="1:7" ht="11.25" customHeight="1">
      <c r="A73" s="375" t="s">
        <v>16</v>
      </c>
      <c t="s">
        <v>5226</v>
      </c>
      <c t="s">
        <v>5227</v>
      </c>
      <c t="s">
        <v>5242</v>
      </c>
      <c t="s">
        <v>5243</v>
      </c>
      <c t="s">
        <v>5097</v>
      </c>
      <c t="s">
        <v>5244</v>
      </c>
    </row>
    <row r="74" spans="1:7" ht="11.25" customHeight="1">
      <c r="A74" s="375" t="s">
        <v>16</v>
      </c>
      <c t="s">
        <v>5226</v>
      </c>
      <c t="s">
        <v>5227</v>
      </c>
      <c t="s">
        <v>5245</v>
      </c>
      <c t="s">
        <v>5246</v>
      </c>
      <c t="s">
        <v>5097</v>
      </c>
      <c t="s">
        <v>5247</v>
      </c>
    </row>
    <row r="75" spans="1:7" ht="11.25" customHeight="1">
      <c r="A75" s="375" t="s">
        <v>16</v>
      </c>
      <c t="s">
        <v>5226</v>
      </c>
      <c t="s">
        <v>5227</v>
      </c>
      <c t="s">
        <v>5248</v>
      </c>
      <c t="s">
        <v>5249</v>
      </c>
      <c t="s">
        <v>5097</v>
      </c>
      <c t="s">
        <v>5250</v>
      </c>
    </row>
    <row r="76" spans="1:7" ht="11.25" customHeight="1">
      <c r="A76" s="375" t="s">
        <v>16</v>
      </c>
      <c t="s">
        <v>5226</v>
      </c>
      <c t="s">
        <v>5227</v>
      </c>
      <c t="s">
        <v>5251</v>
      </c>
      <c t="s">
        <v>5252</v>
      </c>
      <c t="s">
        <v>5097</v>
      </c>
      <c t="s">
        <v>5253</v>
      </c>
    </row>
    <row r="77" spans="1:7" ht="11.25" customHeight="1">
      <c r="A77" s="375" t="s">
        <v>16</v>
      </c>
      <c t="s">
        <v>5226</v>
      </c>
      <c t="s">
        <v>5227</v>
      </c>
      <c t="s">
        <v>5254</v>
      </c>
      <c t="s">
        <v>5255</v>
      </c>
      <c t="s">
        <v>5097</v>
      </c>
      <c t="s">
        <v>5256</v>
      </c>
    </row>
    <row r="78" spans="1:7" ht="11.25" customHeight="1">
      <c r="A78" s="375" t="s">
        <v>16</v>
      </c>
      <c t="s">
        <v>5226</v>
      </c>
      <c t="s">
        <v>5227</v>
      </c>
      <c t="s">
        <v>5257</v>
      </c>
      <c t="s">
        <v>5258</v>
      </c>
      <c t="s">
        <v>5097</v>
      </c>
      <c t="s">
        <v>5259</v>
      </c>
    </row>
    <row r="79" spans="1:7" ht="11.25" customHeight="1">
      <c r="A79" s="375" t="s">
        <v>16</v>
      </c>
      <c t="s">
        <v>5226</v>
      </c>
      <c t="s">
        <v>5227</v>
      </c>
      <c t="s">
        <v>5260</v>
      </c>
      <c t="s">
        <v>5261</v>
      </c>
      <c t="s">
        <v>5097</v>
      </c>
      <c t="s">
        <v>5262</v>
      </c>
    </row>
    <row r="80" spans="1:7" ht="11.25" customHeight="1">
      <c r="A80" s="375" t="s">
        <v>16</v>
      </c>
      <c t="s">
        <v>5226</v>
      </c>
      <c t="s">
        <v>5227</v>
      </c>
      <c t="s">
        <v>5263</v>
      </c>
      <c t="s">
        <v>5264</v>
      </c>
      <c t="s">
        <v>5097</v>
      </c>
      <c t="s">
        <v>5265</v>
      </c>
    </row>
    <row r="81" spans="1:7" ht="11.25" customHeight="1">
      <c r="A81" s="375" t="s">
        <v>16</v>
      </c>
      <c t="s">
        <v>5226</v>
      </c>
      <c t="s">
        <v>5227</v>
      </c>
      <c t="s">
        <v>5266</v>
      </c>
      <c t="s">
        <v>5267</v>
      </c>
      <c t="s">
        <v>5097</v>
      </c>
      <c t="s">
        <v>5268</v>
      </c>
    </row>
    <row r="82" spans="1:7" ht="11.25" customHeight="1">
      <c r="A82" s="375" t="s">
        <v>16</v>
      </c>
      <c t="s">
        <v>5226</v>
      </c>
      <c t="s">
        <v>5227</v>
      </c>
      <c t="s">
        <v>5269</v>
      </c>
      <c t="s">
        <v>5270</v>
      </c>
      <c t="s">
        <v>5097</v>
      </c>
      <c t="s">
        <v>5271</v>
      </c>
    </row>
    <row r="83" spans="1:7" ht="11.25" customHeight="1">
      <c r="A83" s="375" t="s">
        <v>16</v>
      </c>
      <c t="s">
        <v>5272</v>
      </c>
      <c t="s">
        <v>5273</v>
      </c>
      <c t="s">
        <v>5274</v>
      </c>
      <c t="s">
        <v>5275</v>
      </c>
      <c t="s">
        <v>5097</v>
      </c>
      <c t="s">
        <v>5276</v>
      </c>
    </row>
    <row r="84" spans="1:7" ht="11.25" customHeight="1">
      <c r="A84" s="375" t="s">
        <v>16</v>
      </c>
      <c t="s">
        <v>5272</v>
      </c>
      <c t="s">
        <v>5273</v>
      </c>
      <c t="s">
        <v>5277</v>
      </c>
      <c t="s">
        <v>5278</v>
      </c>
      <c t="s">
        <v>5097</v>
      </c>
      <c t="s">
        <v>5279</v>
      </c>
    </row>
    <row r="85" spans="1:7" ht="11.25" customHeight="1">
      <c r="A85" s="375" t="s">
        <v>16</v>
      </c>
      <c t="s">
        <v>5272</v>
      </c>
      <c t="s">
        <v>5273</v>
      </c>
      <c t="s">
        <v>5272</v>
      </c>
      <c t="s">
        <v>5273</v>
      </c>
      <c t="s">
        <v>5088</v>
      </c>
      <c t="s">
        <v>5280</v>
      </c>
    </row>
    <row r="86" spans="1:7" ht="11.25" customHeight="1">
      <c r="A86" s="375" t="s">
        <v>16</v>
      </c>
      <c t="s">
        <v>5272</v>
      </c>
      <c t="s">
        <v>5273</v>
      </c>
      <c t="s">
        <v>5281</v>
      </c>
      <c t="s">
        <v>5282</v>
      </c>
      <c t="s">
        <v>5097</v>
      </c>
      <c t="s">
        <v>5283</v>
      </c>
    </row>
    <row r="87" spans="1:7" ht="11.25" customHeight="1">
      <c r="A87" s="375" t="s">
        <v>16</v>
      </c>
      <c t="s">
        <v>5272</v>
      </c>
      <c t="s">
        <v>5273</v>
      </c>
      <c t="s">
        <v>5284</v>
      </c>
      <c t="s">
        <v>5285</v>
      </c>
      <c t="s">
        <v>5097</v>
      </c>
      <c t="s">
        <v>5286</v>
      </c>
    </row>
    <row r="88" spans="1:7" ht="11.25" customHeight="1">
      <c r="A88" s="375" t="s">
        <v>16</v>
      </c>
      <c t="s">
        <v>5272</v>
      </c>
      <c t="s">
        <v>5273</v>
      </c>
      <c t="s">
        <v>5287</v>
      </c>
      <c t="s">
        <v>5288</v>
      </c>
      <c t="s">
        <v>5097</v>
      </c>
      <c t="s">
        <v>5289</v>
      </c>
    </row>
    <row r="89" spans="1:7" ht="11.25" customHeight="1">
      <c r="A89" s="375" t="s">
        <v>16</v>
      </c>
      <c t="s">
        <v>5272</v>
      </c>
      <c t="s">
        <v>5273</v>
      </c>
      <c t="s">
        <v>5290</v>
      </c>
      <c t="s">
        <v>5291</v>
      </c>
      <c t="s">
        <v>5097</v>
      </c>
      <c t="s">
        <v>5292</v>
      </c>
    </row>
    <row r="90" spans="1:7" ht="11.25" customHeight="1">
      <c r="A90" s="375" t="s">
        <v>16</v>
      </c>
      <c t="s">
        <v>5272</v>
      </c>
      <c t="s">
        <v>5273</v>
      </c>
      <c t="s">
        <v>5293</v>
      </c>
      <c t="s">
        <v>5294</v>
      </c>
      <c t="s">
        <v>5097</v>
      </c>
      <c t="s">
        <v>5295</v>
      </c>
    </row>
    <row r="91" spans="1:7" ht="11.25" customHeight="1">
      <c r="A91" s="375" t="s">
        <v>16</v>
      </c>
      <c t="s">
        <v>5272</v>
      </c>
      <c t="s">
        <v>5273</v>
      </c>
      <c t="s">
        <v>5296</v>
      </c>
      <c t="s">
        <v>5297</v>
      </c>
      <c t="s">
        <v>5097</v>
      </c>
      <c t="s">
        <v>5298</v>
      </c>
    </row>
    <row r="92" spans="1:7" ht="11.25" customHeight="1">
      <c r="A92" s="375" t="s">
        <v>16</v>
      </c>
      <c t="s">
        <v>5272</v>
      </c>
      <c t="s">
        <v>5273</v>
      </c>
      <c t="s">
        <v>5299</v>
      </c>
      <c t="s">
        <v>5300</v>
      </c>
      <c t="s">
        <v>5097</v>
      </c>
      <c t="s">
        <v>5301</v>
      </c>
    </row>
    <row r="93" spans="1:7" ht="11.25" customHeight="1">
      <c r="A93" s="375" t="s">
        <v>16</v>
      </c>
      <c t="s">
        <v>5272</v>
      </c>
      <c t="s">
        <v>5273</v>
      </c>
      <c t="s">
        <v>5302</v>
      </c>
      <c t="s">
        <v>5303</v>
      </c>
      <c t="s">
        <v>5097</v>
      </c>
      <c t="s">
        <v>5304</v>
      </c>
    </row>
    <row r="94" spans="1:7" ht="11.25" customHeight="1">
      <c r="A94" s="375" t="s">
        <v>16</v>
      </c>
      <c t="s">
        <v>99</v>
      </c>
      <c t="s">
        <v>5305</v>
      </c>
      <c t="s">
        <v>5306</v>
      </c>
      <c t="s">
        <v>5307</v>
      </c>
      <c t="s">
        <v>5097</v>
      </c>
      <c t="s">
        <v>5308</v>
      </c>
    </row>
    <row r="95" spans="1:7" ht="11.25" customHeight="1">
      <c r="A95" s="375" t="s">
        <v>16</v>
      </c>
      <c t="s">
        <v>99</v>
      </c>
      <c t="s">
        <v>5305</v>
      </c>
      <c t="s">
        <v>5309</v>
      </c>
      <c t="s">
        <v>5310</v>
      </c>
      <c t="s">
        <v>5097</v>
      </c>
      <c t="s">
        <v>5311</v>
      </c>
    </row>
    <row r="96" spans="1:7" ht="11.25" customHeight="1">
      <c r="A96" s="375" t="s">
        <v>16</v>
      </c>
      <c t="s">
        <v>99</v>
      </c>
      <c t="s">
        <v>5305</v>
      </c>
      <c t="s">
        <v>99</v>
      </c>
      <c t="s">
        <v>5305</v>
      </c>
      <c t="s">
        <v>5088</v>
      </c>
      <c t="s">
        <v>5312</v>
      </c>
    </row>
    <row r="97" spans="1:7" ht="11.25" customHeight="1">
      <c r="A97" s="375" t="s">
        <v>16</v>
      </c>
      <c t="s">
        <v>99</v>
      </c>
      <c t="s">
        <v>5305</v>
      </c>
      <c t="s">
        <v>5313</v>
      </c>
      <c t="s">
        <v>5314</v>
      </c>
      <c t="s">
        <v>5097</v>
      </c>
      <c t="s">
        <v>5315</v>
      </c>
    </row>
    <row r="98" spans="1:7" ht="11.25" customHeight="1">
      <c r="A98" s="375" t="s">
        <v>16</v>
      </c>
      <c t="s">
        <v>99</v>
      </c>
      <c t="s">
        <v>5305</v>
      </c>
      <c t="s">
        <v>100</v>
      </c>
      <c t="s">
        <v>101</v>
      </c>
      <c t="s">
        <v>5091</v>
      </c>
      <c t="s">
        <v>98</v>
      </c>
    </row>
    <row r="99" spans="1:7" ht="11.25" customHeight="1">
      <c r="A99" s="375" t="s">
        <v>16</v>
      </c>
      <c t="s">
        <v>99</v>
      </c>
      <c t="s">
        <v>5305</v>
      </c>
      <c t="s">
        <v>5316</v>
      </c>
      <c t="s">
        <v>5317</v>
      </c>
      <c t="s">
        <v>5097</v>
      </c>
      <c t="s">
        <v>5318</v>
      </c>
    </row>
    <row r="100" spans="1:7" ht="11.25" customHeight="1">
      <c r="A100" s="375" t="s">
        <v>16</v>
      </c>
      <c t="s">
        <v>99</v>
      </c>
      <c t="s">
        <v>5305</v>
      </c>
      <c t="s">
        <v>5319</v>
      </c>
      <c t="s">
        <v>5320</v>
      </c>
      <c t="s">
        <v>5097</v>
      </c>
      <c t="s">
        <v>5321</v>
      </c>
    </row>
    <row r="101" spans="1:7" ht="11.25" customHeight="1">
      <c r="A101" s="375" t="s">
        <v>16</v>
      </c>
      <c t="s">
        <v>99</v>
      </c>
      <c t="s">
        <v>5305</v>
      </c>
      <c t="s">
        <v>5322</v>
      </c>
      <c t="s">
        <v>5323</v>
      </c>
      <c t="s">
        <v>5097</v>
      </c>
      <c t="s">
        <v>5324</v>
      </c>
    </row>
    <row r="102" spans="1:7" ht="11.25" customHeight="1">
      <c r="A102" s="375" t="s">
        <v>16</v>
      </c>
      <c t="s">
        <v>99</v>
      </c>
      <c t="s">
        <v>5305</v>
      </c>
      <c t="s">
        <v>5325</v>
      </c>
      <c t="s">
        <v>5326</v>
      </c>
      <c t="s">
        <v>5097</v>
      </c>
      <c t="s">
        <v>5327</v>
      </c>
    </row>
    <row r="103" spans="1:7" ht="11.25" customHeight="1">
      <c r="A103" s="375" t="s">
        <v>16</v>
      </c>
      <c t="s">
        <v>99</v>
      </c>
      <c t="s">
        <v>5305</v>
      </c>
      <c t="s">
        <v>5328</v>
      </c>
      <c t="s">
        <v>5329</v>
      </c>
      <c t="s">
        <v>5097</v>
      </c>
      <c t="s">
        <v>5330</v>
      </c>
    </row>
    <row r="104" spans="1:7" ht="11.25" customHeight="1">
      <c r="A104" s="375" t="s">
        <v>16</v>
      </c>
      <c t="s">
        <v>99</v>
      </c>
      <c t="s">
        <v>5305</v>
      </c>
      <c t="s">
        <v>5331</v>
      </c>
      <c t="s">
        <v>5332</v>
      </c>
      <c t="s">
        <v>5097</v>
      </c>
      <c t="s">
        <v>5333</v>
      </c>
    </row>
    <row r="105" spans="1:7" ht="11.25" customHeight="1">
      <c r="A105" s="375" t="s">
        <v>16</v>
      </c>
      <c t="s">
        <v>99</v>
      </c>
      <c t="s">
        <v>5305</v>
      </c>
      <c t="s">
        <v>5334</v>
      </c>
      <c t="s">
        <v>5335</v>
      </c>
      <c t="s">
        <v>5097</v>
      </c>
      <c t="s">
        <v>5336</v>
      </c>
    </row>
    <row r="106" spans="1:7" ht="11.25" customHeight="1">
      <c r="A106" s="375" t="s">
        <v>16</v>
      </c>
      <c t="s">
        <v>5337</v>
      </c>
      <c t="s">
        <v>5338</v>
      </c>
      <c t="s">
        <v>5339</v>
      </c>
      <c t="s">
        <v>5340</v>
      </c>
      <c t="s">
        <v>5097</v>
      </c>
      <c t="s">
        <v>5341</v>
      </c>
    </row>
    <row r="107" spans="1:7" ht="11.25" customHeight="1">
      <c r="A107" s="375" t="s">
        <v>16</v>
      </c>
      <c t="s">
        <v>5337</v>
      </c>
      <c t="s">
        <v>5338</v>
      </c>
      <c t="s">
        <v>5337</v>
      </c>
      <c t="s">
        <v>5338</v>
      </c>
      <c t="s">
        <v>5088</v>
      </c>
      <c t="s">
        <v>5342</v>
      </c>
    </row>
    <row r="108" spans="1:7" ht="11.25" customHeight="1">
      <c r="A108" s="375" t="s">
        <v>16</v>
      </c>
      <c t="s">
        <v>5337</v>
      </c>
      <c t="s">
        <v>5338</v>
      </c>
      <c t="s">
        <v>5343</v>
      </c>
      <c t="s">
        <v>5344</v>
      </c>
      <c t="s">
        <v>5097</v>
      </c>
      <c t="s">
        <v>5345</v>
      </c>
    </row>
    <row r="109" spans="1:7" ht="11.25" customHeight="1">
      <c r="A109" s="375" t="s">
        <v>16</v>
      </c>
      <c t="s">
        <v>5337</v>
      </c>
      <c t="s">
        <v>5338</v>
      </c>
      <c t="s">
        <v>5346</v>
      </c>
      <c t="s">
        <v>5347</v>
      </c>
      <c t="s">
        <v>5097</v>
      </c>
      <c t="s">
        <v>5348</v>
      </c>
    </row>
    <row r="110" spans="1:7" ht="11.25" customHeight="1">
      <c r="A110" s="375" t="s">
        <v>16</v>
      </c>
      <c t="s">
        <v>5337</v>
      </c>
      <c t="s">
        <v>5338</v>
      </c>
      <c t="s">
        <v>5349</v>
      </c>
      <c t="s">
        <v>5350</v>
      </c>
      <c t="s">
        <v>5091</v>
      </c>
      <c t="s">
        <v>5351</v>
      </c>
    </row>
    <row r="111" spans="1:7" ht="11.25" customHeight="1">
      <c r="A111" s="375" t="s">
        <v>16</v>
      </c>
      <c t="s">
        <v>5337</v>
      </c>
      <c t="s">
        <v>5338</v>
      </c>
      <c t="s">
        <v>5352</v>
      </c>
      <c t="s">
        <v>5353</v>
      </c>
      <c t="s">
        <v>5097</v>
      </c>
      <c t="s">
        <v>5354</v>
      </c>
    </row>
    <row r="112" spans="1:7" ht="11.25" customHeight="1">
      <c r="A112" s="375" t="s">
        <v>16</v>
      </c>
      <c t="s">
        <v>5337</v>
      </c>
      <c t="s">
        <v>5338</v>
      </c>
      <c t="s">
        <v>5355</v>
      </c>
      <c t="s">
        <v>5356</v>
      </c>
      <c t="s">
        <v>5097</v>
      </c>
      <c t="s">
        <v>5357</v>
      </c>
    </row>
    <row r="113" spans="1:7" ht="11.25" customHeight="1">
      <c r="A113" s="375" t="s">
        <v>16</v>
      </c>
      <c t="s">
        <v>5337</v>
      </c>
      <c t="s">
        <v>5338</v>
      </c>
      <c t="s">
        <v>5358</v>
      </c>
      <c t="s">
        <v>5359</v>
      </c>
      <c t="s">
        <v>5097</v>
      </c>
      <c t="s">
        <v>5360</v>
      </c>
    </row>
    <row r="114" spans="1:7" ht="11.25" customHeight="1">
      <c r="A114" s="375" t="s">
        <v>16</v>
      </c>
      <c t="s">
        <v>5337</v>
      </c>
      <c t="s">
        <v>5338</v>
      </c>
      <c t="s">
        <v>5361</v>
      </c>
      <c t="s">
        <v>5362</v>
      </c>
      <c t="s">
        <v>5097</v>
      </c>
      <c t="s">
        <v>5363</v>
      </c>
    </row>
    <row r="115" spans="1:7" ht="11.25" customHeight="1">
      <c r="A115" s="375" t="s">
        <v>16</v>
      </c>
      <c t="s">
        <v>5337</v>
      </c>
      <c t="s">
        <v>5338</v>
      </c>
      <c t="s">
        <v>5364</v>
      </c>
      <c t="s">
        <v>5365</v>
      </c>
      <c t="s">
        <v>5097</v>
      </c>
      <c t="s">
        <v>5366</v>
      </c>
    </row>
    <row r="116" spans="1:7" ht="11.25" customHeight="1">
      <c r="A116" s="375" t="s">
        <v>16</v>
      </c>
      <c t="s">
        <v>5367</v>
      </c>
      <c t="s">
        <v>5368</v>
      </c>
      <c t="s">
        <v>5369</v>
      </c>
      <c t="s">
        <v>5370</v>
      </c>
      <c t="s">
        <v>5097</v>
      </c>
      <c t="s">
        <v>5371</v>
      </c>
    </row>
    <row r="117" spans="1:7" ht="11.25" customHeight="1">
      <c r="A117" s="375" t="s">
        <v>16</v>
      </c>
      <c t="s">
        <v>5367</v>
      </c>
      <c t="s">
        <v>5368</v>
      </c>
      <c t="s">
        <v>5372</v>
      </c>
      <c t="s">
        <v>5373</v>
      </c>
      <c t="s">
        <v>5097</v>
      </c>
      <c t="s">
        <v>5374</v>
      </c>
    </row>
    <row r="118" spans="1:7" ht="11.25" customHeight="1">
      <c r="A118" s="375" t="s">
        <v>16</v>
      </c>
      <c t="s">
        <v>5367</v>
      </c>
      <c t="s">
        <v>5368</v>
      </c>
      <c t="s">
        <v>5375</v>
      </c>
      <c t="s">
        <v>5376</v>
      </c>
      <c t="s">
        <v>5097</v>
      </c>
      <c t="s">
        <v>5377</v>
      </c>
    </row>
    <row r="119" spans="1:7" ht="11.25" customHeight="1">
      <c r="A119" s="375" t="s">
        <v>16</v>
      </c>
      <c t="s">
        <v>5367</v>
      </c>
      <c t="s">
        <v>5368</v>
      </c>
      <c t="s">
        <v>5378</v>
      </c>
      <c t="s">
        <v>5379</v>
      </c>
      <c t="s">
        <v>5097</v>
      </c>
      <c t="s">
        <v>5380</v>
      </c>
    </row>
    <row r="120" spans="1:7" ht="11.25" customHeight="1">
      <c r="A120" s="375" t="s">
        <v>16</v>
      </c>
      <c t="s">
        <v>5367</v>
      </c>
      <c t="s">
        <v>5368</v>
      </c>
      <c t="s">
        <v>5367</v>
      </c>
      <c t="s">
        <v>5368</v>
      </c>
      <c t="s">
        <v>5088</v>
      </c>
      <c t="s">
        <v>5381</v>
      </c>
    </row>
    <row r="121" spans="1:7" ht="11.25" customHeight="1">
      <c r="A121" s="375" t="s">
        <v>16</v>
      </c>
      <c t="s">
        <v>5367</v>
      </c>
      <c t="s">
        <v>5368</v>
      </c>
      <c t="s">
        <v>5382</v>
      </c>
      <c t="s">
        <v>5383</v>
      </c>
      <c t="s">
        <v>5097</v>
      </c>
      <c t="s">
        <v>5384</v>
      </c>
    </row>
    <row r="122" spans="1:7" ht="11.25" customHeight="1">
      <c r="A122" s="375" t="s">
        <v>16</v>
      </c>
      <c t="s">
        <v>5367</v>
      </c>
      <c t="s">
        <v>5368</v>
      </c>
      <c t="s">
        <v>5385</v>
      </c>
      <c t="s">
        <v>5386</v>
      </c>
      <c t="s">
        <v>5097</v>
      </c>
      <c t="s">
        <v>5387</v>
      </c>
    </row>
    <row r="123" spans="1:7" ht="11.25" customHeight="1">
      <c r="A123" s="375" t="s">
        <v>16</v>
      </c>
      <c t="s">
        <v>5367</v>
      </c>
      <c t="s">
        <v>5368</v>
      </c>
      <c t="s">
        <v>5388</v>
      </c>
      <c t="s">
        <v>5389</v>
      </c>
      <c t="s">
        <v>5097</v>
      </c>
      <c t="s">
        <v>5390</v>
      </c>
    </row>
    <row r="124" spans="1:7" ht="11.25" customHeight="1">
      <c r="A124" s="375" t="s">
        <v>16</v>
      </c>
      <c t="s">
        <v>5367</v>
      </c>
      <c t="s">
        <v>5368</v>
      </c>
      <c t="s">
        <v>5391</v>
      </c>
      <c t="s">
        <v>5392</v>
      </c>
      <c t="s">
        <v>5097</v>
      </c>
      <c t="s">
        <v>5393</v>
      </c>
    </row>
    <row r="125" spans="1:7" ht="11.25" customHeight="1">
      <c r="A125" s="375" t="s">
        <v>16</v>
      </c>
      <c t="s">
        <v>5394</v>
      </c>
      <c t="s">
        <v>5395</v>
      </c>
      <c t="s">
        <v>5396</v>
      </c>
      <c t="s">
        <v>5397</v>
      </c>
      <c t="s">
        <v>5097</v>
      </c>
      <c t="s">
        <v>5398</v>
      </c>
    </row>
    <row r="126" spans="1:7" ht="11.25" customHeight="1">
      <c r="A126" s="375" t="s">
        <v>16</v>
      </c>
      <c t="s">
        <v>5394</v>
      </c>
      <c t="s">
        <v>5395</v>
      </c>
      <c t="s">
        <v>5394</v>
      </c>
      <c t="s">
        <v>5395</v>
      </c>
      <c t="s">
        <v>5088</v>
      </c>
      <c t="s">
        <v>5399</v>
      </c>
    </row>
    <row r="127" spans="1:7" ht="11.25" customHeight="1">
      <c r="A127" s="375" t="s">
        <v>16</v>
      </c>
      <c t="s">
        <v>5394</v>
      </c>
      <c t="s">
        <v>5395</v>
      </c>
      <c t="s">
        <v>5400</v>
      </c>
      <c t="s">
        <v>5401</v>
      </c>
      <c t="s">
        <v>5097</v>
      </c>
      <c t="s">
        <v>5402</v>
      </c>
    </row>
    <row r="128" spans="1:7" ht="11.25" customHeight="1">
      <c r="A128" s="375" t="s">
        <v>16</v>
      </c>
      <c t="s">
        <v>5394</v>
      </c>
      <c t="s">
        <v>5395</v>
      </c>
      <c t="s">
        <v>5403</v>
      </c>
      <c t="s">
        <v>5404</v>
      </c>
      <c t="s">
        <v>5097</v>
      </c>
      <c t="s">
        <v>5405</v>
      </c>
    </row>
    <row r="129" spans="1:7" ht="11.25" customHeight="1">
      <c r="A129" s="375" t="s">
        <v>16</v>
      </c>
      <c t="s">
        <v>5394</v>
      </c>
      <c t="s">
        <v>5395</v>
      </c>
      <c t="s">
        <v>5406</v>
      </c>
      <c t="s">
        <v>5407</v>
      </c>
      <c t="s">
        <v>5097</v>
      </c>
      <c t="s">
        <v>5408</v>
      </c>
    </row>
    <row r="130" spans="1:7" ht="11.25" customHeight="1">
      <c r="A130" s="375" t="s">
        <v>16</v>
      </c>
      <c t="s">
        <v>5394</v>
      </c>
      <c t="s">
        <v>5395</v>
      </c>
      <c t="s">
        <v>5409</v>
      </c>
      <c t="s">
        <v>5410</v>
      </c>
      <c t="s">
        <v>5097</v>
      </c>
      <c t="s">
        <v>5411</v>
      </c>
    </row>
    <row r="131" spans="1:7" ht="11.25" customHeight="1">
      <c r="A131" s="375" t="s">
        <v>16</v>
      </c>
      <c t="s">
        <v>5394</v>
      </c>
      <c t="s">
        <v>5395</v>
      </c>
      <c t="s">
        <v>5412</v>
      </c>
      <c t="s">
        <v>5413</v>
      </c>
      <c t="s">
        <v>5097</v>
      </c>
      <c t="s">
        <v>5414</v>
      </c>
    </row>
    <row r="132" spans="1:7" ht="11.25" customHeight="1">
      <c r="A132" s="375" t="s">
        <v>16</v>
      </c>
      <c t="s">
        <v>5394</v>
      </c>
      <c t="s">
        <v>5395</v>
      </c>
      <c t="s">
        <v>5415</v>
      </c>
      <c t="s">
        <v>5416</v>
      </c>
      <c t="s">
        <v>5097</v>
      </c>
      <c t="s">
        <v>5417</v>
      </c>
    </row>
    <row r="133" spans="1:7" ht="11.25" customHeight="1">
      <c r="A133" s="375" t="s">
        <v>16</v>
      </c>
      <c t="s">
        <v>5394</v>
      </c>
      <c t="s">
        <v>5395</v>
      </c>
      <c t="s">
        <v>5418</v>
      </c>
      <c t="s">
        <v>5419</v>
      </c>
      <c t="s">
        <v>5097</v>
      </c>
      <c t="s">
        <v>5420</v>
      </c>
    </row>
    <row r="134" spans="1:7" ht="11.25" customHeight="1">
      <c r="A134" s="375" t="s">
        <v>16</v>
      </c>
      <c t="s">
        <v>5394</v>
      </c>
      <c t="s">
        <v>5395</v>
      </c>
      <c t="s">
        <v>5421</v>
      </c>
      <c t="s">
        <v>5422</v>
      </c>
      <c t="s">
        <v>5097</v>
      </c>
      <c t="s">
        <v>5423</v>
      </c>
    </row>
    <row r="135" spans="1:7" ht="11.25" customHeight="1">
      <c r="A135" s="375" t="s">
        <v>16</v>
      </c>
      <c t="s">
        <v>5424</v>
      </c>
      <c t="s">
        <v>5425</v>
      </c>
      <c t="s">
        <v>5426</v>
      </c>
      <c t="s">
        <v>5427</v>
      </c>
      <c t="s">
        <v>5097</v>
      </c>
      <c t="s">
        <v>5428</v>
      </c>
    </row>
    <row r="136" spans="1:7" ht="11.25" customHeight="1">
      <c r="A136" s="375" t="s">
        <v>16</v>
      </c>
      <c t="s">
        <v>5424</v>
      </c>
      <c t="s">
        <v>5425</v>
      </c>
      <c t="s">
        <v>5429</v>
      </c>
      <c t="s">
        <v>5430</v>
      </c>
      <c t="s">
        <v>5097</v>
      </c>
      <c t="s">
        <v>5431</v>
      </c>
    </row>
    <row r="137" spans="1:7" ht="11.25" customHeight="1">
      <c r="A137" s="375" t="s">
        <v>16</v>
      </c>
      <c t="s">
        <v>5424</v>
      </c>
      <c t="s">
        <v>5425</v>
      </c>
      <c t="s">
        <v>5432</v>
      </c>
      <c t="s">
        <v>5433</v>
      </c>
      <c t="s">
        <v>5097</v>
      </c>
      <c t="s">
        <v>5434</v>
      </c>
    </row>
    <row r="138" spans="1:7" ht="11.25" customHeight="1">
      <c r="A138" s="375" t="s">
        <v>16</v>
      </c>
      <c t="s">
        <v>5424</v>
      </c>
      <c t="s">
        <v>5425</v>
      </c>
      <c t="s">
        <v>5435</v>
      </c>
      <c t="s">
        <v>5436</v>
      </c>
      <c t="s">
        <v>5097</v>
      </c>
      <c t="s">
        <v>5437</v>
      </c>
    </row>
    <row r="139" spans="1:7" ht="11.25" customHeight="1">
      <c r="A139" s="375" t="s">
        <v>16</v>
      </c>
      <c t="s">
        <v>5424</v>
      </c>
      <c t="s">
        <v>5425</v>
      </c>
      <c t="s">
        <v>5424</v>
      </c>
      <c t="s">
        <v>5425</v>
      </c>
      <c t="s">
        <v>5088</v>
      </c>
      <c t="s">
        <v>5438</v>
      </c>
    </row>
    <row r="140" spans="1:7" ht="11.25" customHeight="1">
      <c r="A140" s="375" t="s">
        <v>16</v>
      </c>
      <c t="s">
        <v>5424</v>
      </c>
      <c t="s">
        <v>5425</v>
      </c>
      <c t="s">
        <v>5439</v>
      </c>
      <c t="s">
        <v>5440</v>
      </c>
      <c t="s">
        <v>5091</v>
      </c>
      <c t="s">
        <v>5441</v>
      </c>
    </row>
    <row r="141" spans="1:7" ht="11.25" customHeight="1">
      <c r="A141" s="375" t="s">
        <v>16</v>
      </c>
      <c t="s">
        <v>5424</v>
      </c>
      <c t="s">
        <v>5425</v>
      </c>
      <c t="s">
        <v>5442</v>
      </c>
      <c t="s">
        <v>5443</v>
      </c>
      <c t="s">
        <v>5097</v>
      </c>
      <c t="s">
        <v>5444</v>
      </c>
    </row>
    <row r="142" spans="1:7" ht="11.25" customHeight="1">
      <c r="A142" s="375" t="s">
        <v>16</v>
      </c>
      <c t="s">
        <v>5424</v>
      </c>
      <c t="s">
        <v>5425</v>
      </c>
      <c t="s">
        <v>5445</v>
      </c>
      <c t="s">
        <v>5446</v>
      </c>
      <c t="s">
        <v>5097</v>
      </c>
      <c t="s">
        <v>5447</v>
      </c>
    </row>
    <row r="143" spans="1:7" ht="11.25" customHeight="1">
      <c r="A143" s="375" t="s">
        <v>16</v>
      </c>
      <c t="s">
        <v>5424</v>
      </c>
      <c t="s">
        <v>5425</v>
      </c>
      <c t="s">
        <v>5448</v>
      </c>
      <c t="s">
        <v>5449</v>
      </c>
      <c t="s">
        <v>5097</v>
      </c>
      <c t="s">
        <v>5450</v>
      </c>
    </row>
    <row r="144" spans="1:7" ht="11.25" customHeight="1">
      <c r="A144" s="375" t="s">
        <v>16</v>
      </c>
      <c t="s">
        <v>5424</v>
      </c>
      <c t="s">
        <v>5425</v>
      </c>
      <c t="s">
        <v>5451</v>
      </c>
      <c t="s">
        <v>5452</v>
      </c>
      <c t="s">
        <v>5097</v>
      </c>
      <c t="s">
        <v>5453</v>
      </c>
    </row>
    <row r="145" spans="1:7" ht="11.25" customHeight="1">
      <c r="A145" s="375" t="s">
        <v>16</v>
      </c>
      <c t="s">
        <v>5424</v>
      </c>
      <c t="s">
        <v>5425</v>
      </c>
      <c t="s">
        <v>5454</v>
      </c>
      <c t="s">
        <v>5455</v>
      </c>
      <c t="s">
        <v>5097</v>
      </c>
      <c t="s">
        <v>5456</v>
      </c>
    </row>
    <row r="146" spans="1:7" ht="11.25" customHeight="1">
      <c r="A146" s="375" t="s">
        <v>16</v>
      </c>
      <c t="s">
        <v>5457</v>
      </c>
      <c t="s">
        <v>5458</v>
      </c>
      <c t="s">
        <v>5459</v>
      </c>
      <c t="s">
        <v>5460</v>
      </c>
      <c t="s">
        <v>5097</v>
      </c>
      <c t="s">
        <v>5461</v>
      </c>
    </row>
    <row r="147" spans="1:7" ht="11.25" customHeight="1">
      <c r="A147" s="375" t="s">
        <v>16</v>
      </c>
      <c t="s">
        <v>5457</v>
      </c>
      <c t="s">
        <v>5458</v>
      </c>
      <c t="s">
        <v>5457</v>
      </c>
      <c t="s">
        <v>5458</v>
      </c>
      <c t="s">
        <v>5088</v>
      </c>
      <c t="s">
        <v>5462</v>
      </c>
    </row>
    <row r="148" spans="1:7" ht="11.25" customHeight="1">
      <c r="A148" s="375" t="s">
        <v>16</v>
      </c>
      <c t="s">
        <v>5457</v>
      </c>
      <c t="s">
        <v>5458</v>
      </c>
      <c t="s">
        <v>5463</v>
      </c>
      <c t="s">
        <v>5464</v>
      </c>
      <c t="s">
        <v>5097</v>
      </c>
      <c t="s">
        <v>5465</v>
      </c>
    </row>
    <row r="149" spans="1:7" ht="11.25" customHeight="1">
      <c r="A149" s="375" t="s">
        <v>16</v>
      </c>
      <c t="s">
        <v>5457</v>
      </c>
      <c t="s">
        <v>5458</v>
      </c>
      <c t="s">
        <v>5466</v>
      </c>
      <c t="s">
        <v>5467</v>
      </c>
      <c t="s">
        <v>5097</v>
      </c>
      <c t="s">
        <v>5468</v>
      </c>
    </row>
    <row r="150" spans="1:7" ht="11.25" customHeight="1">
      <c r="A150" s="375" t="s">
        <v>16</v>
      </c>
      <c t="s">
        <v>5457</v>
      </c>
      <c t="s">
        <v>5458</v>
      </c>
      <c t="s">
        <v>5469</v>
      </c>
      <c t="s">
        <v>5470</v>
      </c>
      <c t="s">
        <v>5097</v>
      </c>
      <c t="s">
        <v>5471</v>
      </c>
    </row>
    <row r="151" spans="1:7" ht="11.25" customHeight="1">
      <c r="A151" s="375" t="s">
        <v>16</v>
      </c>
      <c t="s">
        <v>5457</v>
      </c>
      <c t="s">
        <v>5458</v>
      </c>
      <c t="s">
        <v>5472</v>
      </c>
      <c t="s">
        <v>5473</v>
      </c>
      <c t="s">
        <v>5097</v>
      </c>
      <c t="s">
        <v>5474</v>
      </c>
    </row>
    <row r="152" spans="1:7" ht="11.25" customHeight="1">
      <c r="A152" s="375" t="s">
        <v>16</v>
      </c>
      <c t="s">
        <v>5457</v>
      </c>
      <c t="s">
        <v>5458</v>
      </c>
      <c t="s">
        <v>5475</v>
      </c>
      <c t="s">
        <v>5476</v>
      </c>
      <c t="s">
        <v>5097</v>
      </c>
      <c t="s">
        <v>5477</v>
      </c>
    </row>
    <row r="153" spans="1:7" ht="11.25" customHeight="1">
      <c r="A153" s="375" t="s">
        <v>16</v>
      </c>
      <c t="s">
        <v>5457</v>
      </c>
      <c t="s">
        <v>5458</v>
      </c>
      <c t="s">
        <v>5478</v>
      </c>
      <c t="s">
        <v>5479</v>
      </c>
      <c t="s">
        <v>5097</v>
      </c>
      <c t="s">
        <v>5480</v>
      </c>
    </row>
    <row r="154" spans="1:7" ht="11.25" customHeight="1">
      <c r="A154" s="375" t="s">
        <v>16</v>
      </c>
      <c t="s">
        <v>5457</v>
      </c>
      <c t="s">
        <v>5458</v>
      </c>
      <c t="s">
        <v>5481</v>
      </c>
      <c t="s">
        <v>5482</v>
      </c>
      <c t="s">
        <v>5097</v>
      </c>
      <c t="s">
        <v>5483</v>
      </c>
    </row>
    <row r="155" spans="1:7" ht="11.25" customHeight="1">
      <c r="A155" s="375" t="s">
        <v>16</v>
      </c>
      <c t="s">
        <v>5457</v>
      </c>
      <c t="s">
        <v>5458</v>
      </c>
      <c t="s">
        <v>5484</v>
      </c>
      <c t="s">
        <v>5485</v>
      </c>
      <c t="s">
        <v>5097</v>
      </c>
      <c t="s">
        <v>5486</v>
      </c>
    </row>
    <row r="156" spans="1:7" ht="11.25" customHeight="1">
      <c r="A156" s="375" t="s">
        <v>16</v>
      </c>
      <c t="s">
        <v>5457</v>
      </c>
      <c t="s">
        <v>5458</v>
      </c>
      <c t="s">
        <v>5487</v>
      </c>
      <c t="s">
        <v>5488</v>
      </c>
      <c t="s">
        <v>5097</v>
      </c>
      <c t="s">
        <v>5489</v>
      </c>
    </row>
    <row r="157" spans="1:7" ht="11.25" customHeight="1">
      <c r="A157" s="375" t="s">
        <v>16</v>
      </c>
      <c t="s">
        <v>5490</v>
      </c>
      <c t="s">
        <v>5491</v>
      </c>
      <c t="s">
        <v>5490</v>
      </c>
      <c t="s">
        <v>5491</v>
      </c>
      <c t="s">
        <v>5088</v>
      </c>
      <c t="s">
        <v>5492</v>
      </c>
    </row>
    <row r="158" spans="1:7" ht="11.25" customHeight="1">
      <c r="A158" s="375" t="s">
        <v>16</v>
      </c>
      <c t="s">
        <v>5490</v>
      </c>
      <c t="s">
        <v>5491</v>
      </c>
      <c t="s">
        <v>5493</v>
      </c>
      <c t="s">
        <v>5494</v>
      </c>
      <c t="s">
        <v>5097</v>
      </c>
      <c t="s">
        <v>5495</v>
      </c>
    </row>
    <row r="159" spans="1:7" ht="11.25" customHeight="1">
      <c r="A159" s="375" t="s">
        <v>16</v>
      </c>
      <c t="s">
        <v>5490</v>
      </c>
      <c t="s">
        <v>5491</v>
      </c>
      <c t="s">
        <v>5496</v>
      </c>
      <c t="s">
        <v>5497</v>
      </c>
      <c t="s">
        <v>5097</v>
      </c>
      <c t="s">
        <v>5498</v>
      </c>
    </row>
    <row r="160" spans="1:7" ht="11.25" customHeight="1">
      <c r="A160" s="375" t="s">
        <v>16</v>
      </c>
      <c t="s">
        <v>5490</v>
      </c>
      <c t="s">
        <v>5491</v>
      </c>
      <c t="s">
        <v>5499</v>
      </c>
      <c t="s">
        <v>5500</v>
      </c>
      <c t="s">
        <v>5097</v>
      </c>
      <c t="s">
        <v>5501</v>
      </c>
    </row>
    <row r="161" spans="1:7" ht="11.25" customHeight="1">
      <c r="A161" s="375" t="s">
        <v>16</v>
      </c>
      <c t="s">
        <v>5490</v>
      </c>
      <c t="s">
        <v>5491</v>
      </c>
      <c t="s">
        <v>5502</v>
      </c>
      <c t="s">
        <v>5503</v>
      </c>
      <c t="s">
        <v>5097</v>
      </c>
      <c t="s">
        <v>5504</v>
      </c>
    </row>
    <row r="162" spans="1:7" ht="11.25" customHeight="1">
      <c r="A162" s="375" t="s">
        <v>16</v>
      </c>
      <c t="s">
        <v>5490</v>
      </c>
      <c t="s">
        <v>5491</v>
      </c>
      <c t="s">
        <v>5469</v>
      </c>
      <c t="s">
        <v>5505</v>
      </c>
      <c t="s">
        <v>5097</v>
      </c>
      <c t="s">
        <v>5506</v>
      </c>
    </row>
    <row r="163" spans="1:7" ht="11.25" customHeight="1">
      <c r="A163" s="375" t="s">
        <v>16</v>
      </c>
      <c t="s">
        <v>5490</v>
      </c>
      <c t="s">
        <v>5491</v>
      </c>
      <c t="s">
        <v>5507</v>
      </c>
      <c t="s">
        <v>5508</v>
      </c>
      <c t="s">
        <v>5097</v>
      </c>
      <c t="s">
        <v>5509</v>
      </c>
    </row>
    <row r="164" spans="1:7" ht="11.25" customHeight="1">
      <c r="A164" s="375" t="s">
        <v>16</v>
      </c>
      <c t="s">
        <v>5510</v>
      </c>
      <c t="s">
        <v>5511</v>
      </c>
      <c t="s">
        <v>5512</v>
      </c>
      <c t="s">
        <v>5513</v>
      </c>
      <c t="s">
        <v>5097</v>
      </c>
      <c t="s">
        <v>5514</v>
      </c>
    </row>
    <row r="165" spans="1:7" ht="11.25" customHeight="1">
      <c r="A165" s="375" t="s">
        <v>16</v>
      </c>
      <c t="s">
        <v>5510</v>
      </c>
      <c t="s">
        <v>5511</v>
      </c>
      <c t="s">
        <v>5515</v>
      </c>
      <c t="s">
        <v>5516</v>
      </c>
      <c t="s">
        <v>5097</v>
      </c>
      <c t="s">
        <v>5517</v>
      </c>
    </row>
    <row r="166" spans="1:7" ht="11.25" customHeight="1">
      <c r="A166" s="375" t="s">
        <v>16</v>
      </c>
      <c t="s">
        <v>5510</v>
      </c>
      <c t="s">
        <v>5511</v>
      </c>
      <c t="s">
        <v>5518</v>
      </c>
      <c t="s">
        <v>5519</v>
      </c>
      <c t="s">
        <v>5097</v>
      </c>
      <c t="s">
        <v>5520</v>
      </c>
    </row>
    <row r="167" spans="1:7" ht="11.25" customHeight="1">
      <c r="A167" s="375" t="s">
        <v>16</v>
      </c>
      <c t="s">
        <v>5510</v>
      </c>
      <c t="s">
        <v>5511</v>
      </c>
      <c t="s">
        <v>5521</v>
      </c>
      <c t="s">
        <v>5522</v>
      </c>
      <c t="s">
        <v>5097</v>
      </c>
      <c t="s">
        <v>5523</v>
      </c>
    </row>
    <row r="168" spans="1:7" ht="11.25" customHeight="1">
      <c r="A168" s="375" t="s">
        <v>16</v>
      </c>
      <c t="s">
        <v>5510</v>
      </c>
      <c t="s">
        <v>5511</v>
      </c>
      <c t="s">
        <v>5510</v>
      </c>
      <c t="s">
        <v>5511</v>
      </c>
      <c t="s">
        <v>5088</v>
      </c>
      <c t="s">
        <v>5524</v>
      </c>
    </row>
    <row r="169" spans="1:7" ht="11.25" customHeight="1">
      <c r="A169" s="375" t="s">
        <v>16</v>
      </c>
      <c t="s">
        <v>5510</v>
      </c>
      <c t="s">
        <v>5511</v>
      </c>
      <c t="s">
        <v>5525</v>
      </c>
      <c t="s">
        <v>5526</v>
      </c>
      <c t="s">
        <v>5091</v>
      </c>
      <c t="s">
        <v>5527</v>
      </c>
    </row>
    <row r="170" spans="1:7" ht="11.25" customHeight="1">
      <c r="A170" s="375" t="s">
        <v>16</v>
      </c>
      <c t="s">
        <v>5510</v>
      </c>
      <c t="s">
        <v>5511</v>
      </c>
      <c t="s">
        <v>5528</v>
      </c>
      <c t="s">
        <v>5529</v>
      </c>
      <c t="s">
        <v>5097</v>
      </c>
      <c t="s">
        <v>5530</v>
      </c>
    </row>
    <row r="171" spans="1:7" ht="11.25" customHeight="1">
      <c r="A171" s="375" t="s">
        <v>16</v>
      </c>
      <c t="s">
        <v>5510</v>
      </c>
      <c t="s">
        <v>5511</v>
      </c>
      <c t="s">
        <v>5531</v>
      </c>
      <c t="s">
        <v>5532</v>
      </c>
      <c t="s">
        <v>5097</v>
      </c>
      <c t="s">
        <v>5533</v>
      </c>
    </row>
    <row r="172" spans="1:7" ht="11.25" customHeight="1">
      <c r="A172" s="375" t="s">
        <v>16</v>
      </c>
      <c t="s">
        <v>5510</v>
      </c>
      <c t="s">
        <v>5511</v>
      </c>
      <c t="s">
        <v>5534</v>
      </c>
      <c t="s">
        <v>5535</v>
      </c>
      <c t="s">
        <v>5097</v>
      </c>
      <c t="s">
        <v>5536</v>
      </c>
    </row>
    <row r="173" spans="1:7" ht="11.25" customHeight="1">
      <c r="A173" s="375" t="s">
        <v>16</v>
      </c>
      <c t="s">
        <v>5510</v>
      </c>
      <c t="s">
        <v>5511</v>
      </c>
      <c t="s">
        <v>5537</v>
      </c>
      <c t="s">
        <v>5538</v>
      </c>
      <c t="s">
        <v>5097</v>
      </c>
      <c t="s">
        <v>5539</v>
      </c>
    </row>
    <row r="174" spans="1:7" ht="11.25" customHeight="1">
      <c r="A174" s="375" t="s">
        <v>16</v>
      </c>
      <c t="s">
        <v>5510</v>
      </c>
      <c t="s">
        <v>5511</v>
      </c>
      <c t="s">
        <v>5540</v>
      </c>
      <c t="s">
        <v>5541</v>
      </c>
      <c t="s">
        <v>5097</v>
      </c>
      <c t="s">
        <v>5542</v>
      </c>
    </row>
    <row r="175" spans="1:7" ht="11.25" customHeight="1">
      <c r="A175" s="375" t="s">
        <v>16</v>
      </c>
      <c t="s">
        <v>5510</v>
      </c>
      <c t="s">
        <v>5511</v>
      </c>
      <c t="s">
        <v>5543</v>
      </c>
      <c t="s">
        <v>5544</v>
      </c>
      <c t="s">
        <v>5097</v>
      </c>
      <c t="s">
        <v>5545</v>
      </c>
    </row>
    <row r="176" spans="1:7" ht="11.25" customHeight="1">
      <c r="A176" s="375" t="s">
        <v>16</v>
      </c>
      <c t="s">
        <v>5546</v>
      </c>
      <c t="s">
        <v>5547</v>
      </c>
      <c t="s">
        <v>5548</v>
      </c>
      <c t="s">
        <v>5549</v>
      </c>
      <c t="s">
        <v>5097</v>
      </c>
      <c t="s">
        <v>5550</v>
      </c>
    </row>
    <row r="177" spans="1:7" ht="11.25" customHeight="1">
      <c r="A177" s="375" t="s">
        <v>16</v>
      </c>
      <c t="s">
        <v>5546</v>
      </c>
      <c t="s">
        <v>5547</v>
      </c>
      <c t="s">
        <v>5551</v>
      </c>
      <c t="s">
        <v>5552</v>
      </c>
      <c t="s">
        <v>5097</v>
      </c>
      <c t="s">
        <v>5553</v>
      </c>
    </row>
    <row r="178" spans="1:7" ht="11.25" customHeight="1">
      <c r="A178" s="375" t="s">
        <v>16</v>
      </c>
      <c t="s">
        <v>5546</v>
      </c>
      <c t="s">
        <v>5547</v>
      </c>
      <c t="s">
        <v>5554</v>
      </c>
      <c t="s">
        <v>5555</v>
      </c>
      <c t="s">
        <v>5097</v>
      </c>
      <c t="s">
        <v>5556</v>
      </c>
    </row>
    <row r="179" spans="1:7" ht="11.25" customHeight="1">
      <c r="A179" s="375" t="s">
        <v>16</v>
      </c>
      <c t="s">
        <v>5546</v>
      </c>
      <c t="s">
        <v>5547</v>
      </c>
      <c t="s">
        <v>5546</v>
      </c>
      <c t="s">
        <v>5547</v>
      </c>
      <c t="s">
        <v>5088</v>
      </c>
      <c t="s">
        <v>5557</v>
      </c>
    </row>
    <row r="180" spans="1:7" ht="11.25" customHeight="1">
      <c r="A180" s="375" t="s">
        <v>16</v>
      </c>
      <c t="s">
        <v>5546</v>
      </c>
      <c t="s">
        <v>5547</v>
      </c>
      <c t="s">
        <v>5558</v>
      </c>
      <c t="s">
        <v>5559</v>
      </c>
      <c t="s">
        <v>5091</v>
      </c>
      <c t="s">
        <v>5560</v>
      </c>
    </row>
    <row r="181" spans="1:7" ht="11.25" customHeight="1">
      <c r="A181" s="375" t="s">
        <v>16</v>
      </c>
      <c t="s">
        <v>5546</v>
      </c>
      <c t="s">
        <v>5547</v>
      </c>
      <c t="s">
        <v>5561</v>
      </c>
      <c t="s">
        <v>5562</v>
      </c>
      <c t="s">
        <v>5097</v>
      </c>
      <c t="s">
        <v>5563</v>
      </c>
    </row>
    <row r="182" spans="1:7" ht="11.25" customHeight="1">
      <c r="A182" s="375" t="s">
        <v>16</v>
      </c>
      <c t="s">
        <v>5546</v>
      </c>
      <c t="s">
        <v>5547</v>
      </c>
      <c t="s">
        <v>5564</v>
      </c>
      <c t="s">
        <v>5565</v>
      </c>
      <c t="s">
        <v>5097</v>
      </c>
      <c t="s">
        <v>5566</v>
      </c>
    </row>
    <row r="183" spans="1:7" ht="11.25" customHeight="1">
      <c r="A183" s="375" t="s">
        <v>16</v>
      </c>
      <c t="s">
        <v>5546</v>
      </c>
      <c t="s">
        <v>5547</v>
      </c>
      <c t="s">
        <v>5469</v>
      </c>
      <c t="s">
        <v>5567</v>
      </c>
      <c t="s">
        <v>5097</v>
      </c>
      <c t="s">
        <v>5568</v>
      </c>
    </row>
    <row r="184" spans="1:7" ht="11.25" customHeight="1">
      <c r="A184" s="375" t="s">
        <v>16</v>
      </c>
      <c t="s">
        <v>5546</v>
      </c>
      <c t="s">
        <v>5547</v>
      </c>
      <c t="s">
        <v>5569</v>
      </c>
      <c t="s">
        <v>5570</v>
      </c>
      <c t="s">
        <v>5097</v>
      </c>
      <c t="s">
        <v>5571</v>
      </c>
    </row>
    <row r="185" spans="1:7" ht="11.25" customHeight="1">
      <c r="A185" s="375" t="s">
        <v>16</v>
      </c>
      <c t="s">
        <v>5546</v>
      </c>
      <c t="s">
        <v>5547</v>
      </c>
      <c t="s">
        <v>5158</v>
      </c>
      <c t="s">
        <v>5572</v>
      </c>
      <c t="s">
        <v>5097</v>
      </c>
      <c t="s">
        <v>5573</v>
      </c>
    </row>
    <row r="186" spans="1:7" ht="11.25" customHeight="1">
      <c r="A186" s="375" t="s">
        <v>16</v>
      </c>
      <c t="s">
        <v>5546</v>
      </c>
      <c t="s">
        <v>5547</v>
      </c>
      <c t="s">
        <v>5574</v>
      </c>
      <c t="s">
        <v>5575</v>
      </c>
      <c t="s">
        <v>5097</v>
      </c>
      <c t="s">
        <v>5576</v>
      </c>
    </row>
    <row r="187" spans="1:7" ht="11.25" customHeight="1">
      <c r="A187" s="375" t="s">
        <v>16</v>
      </c>
      <c t="s">
        <v>5577</v>
      </c>
      <c t="s">
        <v>5578</v>
      </c>
      <c t="s">
        <v>5579</v>
      </c>
      <c t="s">
        <v>5580</v>
      </c>
      <c t="s">
        <v>5097</v>
      </c>
      <c t="s">
        <v>5581</v>
      </c>
    </row>
    <row r="188" spans="1:7" ht="11.25" customHeight="1">
      <c r="A188" s="375" t="s">
        <v>16</v>
      </c>
      <c t="s">
        <v>5577</v>
      </c>
      <c t="s">
        <v>5578</v>
      </c>
      <c t="s">
        <v>5582</v>
      </c>
      <c t="s">
        <v>5583</v>
      </c>
      <c t="s">
        <v>5097</v>
      </c>
      <c t="s">
        <v>5584</v>
      </c>
    </row>
    <row r="189" spans="1:7" ht="11.25" customHeight="1">
      <c r="A189" s="375" t="s">
        <v>16</v>
      </c>
      <c t="s">
        <v>5577</v>
      </c>
      <c t="s">
        <v>5578</v>
      </c>
      <c t="s">
        <v>5585</v>
      </c>
      <c t="s">
        <v>5586</v>
      </c>
      <c t="s">
        <v>5097</v>
      </c>
      <c t="s">
        <v>5587</v>
      </c>
    </row>
    <row r="190" spans="1:7" ht="11.25" customHeight="1">
      <c r="A190" s="375" t="s">
        <v>16</v>
      </c>
      <c t="s">
        <v>5577</v>
      </c>
      <c t="s">
        <v>5578</v>
      </c>
      <c t="s">
        <v>5588</v>
      </c>
      <c t="s">
        <v>5589</v>
      </c>
      <c t="s">
        <v>5097</v>
      </c>
      <c t="s">
        <v>5590</v>
      </c>
    </row>
    <row r="191" spans="1:7" ht="11.25" customHeight="1">
      <c r="A191" s="375" t="s">
        <v>16</v>
      </c>
      <c t="s">
        <v>5577</v>
      </c>
      <c t="s">
        <v>5578</v>
      </c>
      <c t="s">
        <v>5281</v>
      </c>
      <c t="s">
        <v>5591</v>
      </c>
      <c t="s">
        <v>5097</v>
      </c>
      <c t="s">
        <v>5592</v>
      </c>
    </row>
    <row r="192" spans="1:7" ht="11.25" customHeight="1">
      <c r="A192" s="375" t="s">
        <v>16</v>
      </c>
      <c t="s">
        <v>5577</v>
      </c>
      <c t="s">
        <v>5578</v>
      </c>
      <c t="s">
        <v>5577</v>
      </c>
      <c t="s">
        <v>5578</v>
      </c>
      <c t="s">
        <v>5088</v>
      </c>
      <c t="s">
        <v>5593</v>
      </c>
    </row>
    <row r="193" spans="1:7" ht="11.25" customHeight="1">
      <c r="A193" s="375" t="s">
        <v>16</v>
      </c>
      <c t="s">
        <v>5577</v>
      </c>
      <c t="s">
        <v>5578</v>
      </c>
      <c t="s">
        <v>5594</v>
      </c>
      <c t="s">
        <v>5595</v>
      </c>
      <c t="s">
        <v>5097</v>
      </c>
      <c t="s">
        <v>5596</v>
      </c>
    </row>
    <row r="194" spans="1:7" ht="11.25" customHeight="1">
      <c r="A194" s="375" t="s">
        <v>16</v>
      </c>
      <c t="s">
        <v>5577</v>
      </c>
      <c t="s">
        <v>5578</v>
      </c>
      <c t="s">
        <v>5597</v>
      </c>
      <c t="s">
        <v>5598</v>
      </c>
      <c t="s">
        <v>5097</v>
      </c>
      <c t="s">
        <v>5599</v>
      </c>
    </row>
    <row r="195" spans="1:7" ht="11.25" customHeight="1">
      <c r="A195" s="375" t="s">
        <v>16</v>
      </c>
      <c t="s">
        <v>5577</v>
      </c>
      <c t="s">
        <v>5578</v>
      </c>
      <c t="s">
        <v>5154</v>
      </c>
      <c t="s">
        <v>5600</v>
      </c>
      <c t="s">
        <v>5097</v>
      </c>
      <c t="s">
        <v>5601</v>
      </c>
    </row>
    <row r="196" spans="1:7" ht="11.25" customHeight="1">
      <c r="A196" s="375" t="s">
        <v>16</v>
      </c>
      <c t="s">
        <v>5577</v>
      </c>
      <c t="s">
        <v>5578</v>
      </c>
      <c t="s">
        <v>5602</v>
      </c>
      <c t="s">
        <v>5603</v>
      </c>
      <c t="s">
        <v>5097</v>
      </c>
      <c t="s">
        <v>5604</v>
      </c>
    </row>
    <row r="197" spans="1:7" ht="11.25" customHeight="1">
      <c r="A197" s="375" t="s">
        <v>16</v>
      </c>
      <c t="s">
        <v>5577</v>
      </c>
      <c t="s">
        <v>5578</v>
      </c>
      <c t="s">
        <v>5451</v>
      </c>
      <c t="s">
        <v>5605</v>
      </c>
      <c t="s">
        <v>5097</v>
      </c>
      <c t="s">
        <v>5606</v>
      </c>
    </row>
    <row r="198" spans="1:7" ht="11.25" customHeight="1">
      <c r="A198" s="375" t="s">
        <v>16</v>
      </c>
      <c t="s">
        <v>5577</v>
      </c>
      <c t="s">
        <v>5578</v>
      </c>
      <c t="s">
        <v>5607</v>
      </c>
      <c t="s">
        <v>5608</v>
      </c>
      <c t="s">
        <v>5097</v>
      </c>
      <c t="s">
        <v>5609</v>
      </c>
    </row>
    <row r="199" spans="1:7" ht="11.25" customHeight="1">
      <c r="A199" s="375" t="s">
        <v>16</v>
      </c>
      <c t="s">
        <v>5577</v>
      </c>
      <c t="s">
        <v>5578</v>
      </c>
      <c t="s">
        <v>5610</v>
      </c>
      <c t="s">
        <v>5611</v>
      </c>
      <c t="s">
        <v>5097</v>
      </c>
      <c t="s">
        <v>5612</v>
      </c>
    </row>
    <row r="200" spans="1:7" ht="11.25" customHeight="1">
      <c r="A200" s="375" t="s">
        <v>16</v>
      </c>
      <c t="s">
        <v>5613</v>
      </c>
      <c t="s">
        <v>5614</v>
      </c>
      <c t="s">
        <v>5615</v>
      </c>
      <c t="s">
        <v>5616</v>
      </c>
      <c t="s">
        <v>5097</v>
      </c>
      <c t="s">
        <v>5617</v>
      </c>
    </row>
    <row r="201" spans="1:7" ht="11.25" customHeight="1">
      <c r="A201" s="375" t="s">
        <v>16</v>
      </c>
      <c t="s">
        <v>5613</v>
      </c>
      <c t="s">
        <v>5614</v>
      </c>
      <c t="s">
        <v>5618</v>
      </c>
      <c t="s">
        <v>5619</v>
      </c>
      <c t="s">
        <v>5097</v>
      </c>
      <c t="s">
        <v>5620</v>
      </c>
    </row>
    <row r="202" spans="1:7" ht="11.25" customHeight="1">
      <c r="A202" s="375" t="s">
        <v>16</v>
      </c>
      <c t="s">
        <v>5613</v>
      </c>
      <c t="s">
        <v>5614</v>
      </c>
      <c t="s">
        <v>5621</v>
      </c>
      <c t="s">
        <v>5622</v>
      </c>
      <c t="s">
        <v>5097</v>
      </c>
      <c t="s">
        <v>5623</v>
      </c>
    </row>
    <row r="203" spans="1:7" ht="11.25" customHeight="1">
      <c r="A203" s="375" t="s">
        <v>16</v>
      </c>
      <c t="s">
        <v>5613</v>
      </c>
      <c t="s">
        <v>5614</v>
      </c>
      <c t="s">
        <v>5624</v>
      </c>
      <c t="s">
        <v>5625</v>
      </c>
      <c t="s">
        <v>5097</v>
      </c>
      <c t="s">
        <v>5626</v>
      </c>
    </row>
    <row r="204" spans="1:7" ht="11.25" customHeight="1">
      <c r="A204" s="375" t="s">
        <v>16</v>
      </c>
      <c t="s">
        <v>5613</v>
      </c>
      <c t="s">
        <v>5614</v>
      </c>
      <c t="s">
        <v>5627</v>
      </c>
      <c t="s">
        <v>5628</v>
      </c>
      <c t="s">
        <v>5097</v>
      </c>
      <c t="s">
        <v>5629</v>
      </c>
    </row>
    <row r="205" spans="1:7" ht="11.25" customHeight="1">
      <c r="A205" s="375" t="s">
        <v>16</v>
      </c>
      <c t="s">
        <v>5613</v>
      </c>
      <c t="s">
        <v>5614</v>
      </c>
      <c t="s">
        <v>5613</v>
      </c>
      <c t="s">
        <v>5614</v>
      </c>
      <c t="s">
        <v>5088</v>
      </c>
      <c t="s">
        <v>5630</v>
      </c>
    </row>
    <row r="206" spans="1:7" ht="11.25" customHeight="1">
      <c r="A206" s="375" t="s">
        <v>16</v>
      </c>
      <c t="s">
        <v>5613</v>
      </c>
      <c t="s">
        <v>5614</v>
      </c>
      <c t="s">
        <v>5631</v>
      </c>
      <c t="s">
        <v>5632</v>
      </c>
      <c t="s">
        <v>5091</v>
      </c>
      <c t="s">
        <v>5633</v>
      </c>
    </row>
    <row r="207" spans="1:7" ht="11.25" customHeight="1">
      <c r="A207" s="375" t="s">
        <v>16</v>
      </c>
      <c t="s">
        <v>5613</v>
      </c>
      <c t="s">
        <v>5614</v>
      </c>
      <c t="s">
        <v>5634</v>
      </c>
      <c t="s">
        <v>5635</v>
      </c>
      <c t="s">
        <v>5097</v>
      </c>
      <c t="s">
        <v>5636</v>
      </c>
    </row>
    <row r="208" spans="1:7" ht="11.25" customHeight="1">
      <c r="A208" s="375" t="s">
        <v>16</v>
      </c>
      <c t="s">
        <v>5613</v>
      </c>
      <c t="s">
        <v>5614</v>
      </c>
      <c t="s">
        <v>5637</v>
      </c>
      <c t="s">
        <v>5638</v>
      </c>
      <c t="s">
        <v>5097</v>
      </c>
      <c t="s">
        <v>5639</v>
      </c>
    </row>
    <row r="209" spans="1:7" ht="11.25" customHeight="1">
      <c r="A209" s="375" t="s">
        <v>16</v>
      </c>
      <c t="s">
        <v>5613</v>
      </c>
      <c t="s">
        <v>5614</v>
      </c>
      <c t="s">
        <v>5640</v>
      </c>
      <c t="s">
        <v>5641</v>
      </c>
      <c t="s">
        <v>5097</v>
      </c>
      <c t="s">
        <v>5642</v>
      </c>
    </row>
    <row r="210" spans="1:7" ht="11.25" customHeight="1">
      <c r="A210" s="375" t="s">
        <v>16</v>
      </c>
      <c t="s">
        <v>5613</v>
      </c>
      <c t="s">
        <v>5614</v>
      </c>
      <c t="s">
        <v>5643</v>
      </c>
      <c t="s">
        <v>5644</v>
      </c>
      <c t="s">
        <v>5097</v>
      </c>
      <c t="s">
        <v>5645</v>
      </c>
    </row>
    <row r="211" spans="1:7" ht="11.25" customHeight="1">
      <c r="A211" s="375" t="s">
        <v>16</v>
      </c>
      <c t="s">
        <v>5613</v>
      </c>
      <c t="s">
        <v>5614</v>
      </c>
      <c t="s">
        <v>5646</v>
      </c>
      <c t="s">
        <v>5647</v>
      </c>
      <c t="s">
        <v>5097</v>
      </c>
      <c t="s">
        <v>5648</v>
      </c>
    </row>
    <row r="212" spans="1:7" ht="11.25" customHeight="1">
      <c r="A212" s="375" t="s">
        <v>16</v>
      </c>
      <c t="s">
        <v>5613</v>
      </c>
      <c t="s">
        <v>5614</v>
      </c>
      <c t="s">
        <v>5649</v>
      </c>
      <c t="s">
        <v>5650</v>
      </c>
      <c t="s">
        <v>5097</v>
      </c>
      <c t="s">
        <v>5651</v>
      </c>
    </row>
    <row r="213" spans="1:7" ht="11.25" customHeight="1">
      <c r="A213" s="375" t="s">
        <v>16</v>
      </c>
      <c t="s">
        <v>5613</v>
      </c>
      <c t="s">
        <v>5614</v>
      </c>
      <c t="s">
        <v>5652</v>
      </c>
      <c t="s">
        <v>5653</v>
      </c>
      <c t="s">
        <v>5097</v>
      </c>
      <c t="s">
        <v>5654</v>
      </c>
    </row>
    <row r="214" spans="1:7" ht="11.25" customHeight="1">
      <c r="A214" s="375" t="s">
        <v>16</v>
      </c>
      <c t="s">
        <v>5655</v>
      </c>
      <c t="s">
        <v>5656</v>
      </c>
      <c t="s">
        <v>5655</v>
      </c>
      <c t="s">
        <v>5656</v>
      </c>
      <c t="s">
        <v>5657</v>
      </c>
      <c t="s">
        <v>5658</v>
      </c>
    </row>
    <row r="215" spans="1:7" ht="11.25" customHeight="1">
      <c r="A215" s="375" t="s">
        <v>16</v>
      </c>
      <c t="s">
        <v>5659</v>
      </c>
      <c t="s">
        <v>5660</v>
      </c>
      <c t="s">
        <v>5661</v>
      </c>
      <c t="s">
        <v>5662</v>
      </c>
      <c t="s">
        <v>5097</v>
      </c>
      <c t="s">
        <v>5663</v>
      </c>
    </row>
    <row r="216" spans="1:7" ht="11.25" customHeight="1">
      <c r="A216" s="375" t="s">
        <v>16</v>
      </c>
      <c t="s">
        <v>5659</v>
      </c>
      <c t="s">
        <v>5660</v>
      </c>
      <c t="s">
        <v>5664</v>
      </c>
      <c t="s">
        <v>5665</v>
      </c>
      <c t="s">
        <v>5097</v>
      </c>
      <c t="s">
        <v>5666</v>
      </c>
    </row>
    <row r="217" spans="1:7" ht="11.25" customHeight="1">
      <c r="A217" s="375" t="s">
        <v>16</v>
      </c>
      <c t="s">
        <v>5659</v>
      </c>
      <c t="s">
        <v>5660</v>
      </c>
      <c t="s">
        <v>5667</v>
      </c>
      <c t="s">
        <v>5668</v>
      </c>
      <c t="s">
        <v>5097</v>
      </c>
      <c t="s">
        <v>5669</v>
      </c>
    </row>
    <row r="218" spans="1:7" ht="11.25" customHeight="1">
      <c r="A218" s="375" t="s">
        <v>16</v>
      </c>
      <c t="s">
        <v>5659</v>
      </c>
      <c t="s">
        <v>5660</v>
      </c>
      <c t="s">
        <v>5670</v>
      </c>
      <c t="s">
        <v>5671</v>
      </c>
      <c t="s">
        <v>5097</v>
      </c>
      <c t="s">
        <v>5672</v>
      </c>
    </row>
    <row r="219" spans="1:7" ht="11.25" customHeight="1">
      <c r="A219" s="375" t="s">
        <v>16</v>
      </c>
      <c t="s">
        <v>5659</v>
      </c>
      <c t="s">
        <v>5660</v>
      </c>
      <c t="s">
        <v>5493</v>
      </c>
      <c t="s">
        <v>5673</v>
      </c>
      <c t="s">
        <v>5097</v>
      </c>
      <c t="s">
        <v>5674</v>
      </c>
    </row>
    <row r="220" spans="1:7" ht="11.25" customHeight="1">
      <c r="A220" s="375" t="s">
        <v>16</v>
      </c>
      <c t="s">
        <v>5659</v>
      </c>
      <c t="s">
        <v>5660</v>
      </c>
      <c t="s">
        <v>5675</v>
      </c>
      <c t="s">
        <v>5676</v>
      </c>
      <c t="s">
        <v>5097</v>
      </c>
      <c t="s">
        <v>5677</v>
      </c>
    </row>
    <row r="221" spans="1:7" ht="11.25" customHeight="1">
      <c r="A221" s="375" t="s">
        <v>16</v>
      </c>
      <c t="s">
        <v>5659</v>
      </c>
      <c t="s">
        <v>5660</v>
      </c>
      <c t="s">
        <v>5659</v>
      </c>
      <c t="s">
        <v>5660</v>
      </c>
      <c t="s">
        <v>5088</v>
      </c>
      <c t="s">
        <v>5678</v>
      </c>
    </row>
    <row r="222" spans="1:7" ht="11.25" customHeight="1">
      <c r="A222" s="375" t="s">
        <v>16</v>
      </c>
      <c t="s">
        <v>5659</v>
      </c>
      <c t="s">
        <v>5660</v>
      </c>
      <c t="s">
        <v>5679</v>
      </c>
      <c t="s">
        <v>5680</v>
      </c>
      <c t="s">
        <v>5097</v>
      </c>
      <c t="s">
        <v>5681</v>
      </c>
    </row>
    <row r="223" spans="1:7" ht="11.25" customHeight="1">
      <c r="A223" s="375" t="s">
        <v>16</v>
      </c>
      <c t="s">
        <v>5659</v>
      </c>
      <c t="s">
        <v>5660</v>
      </c>
      <c t="s">
        <v>5682</v>
      </c>
      <c t="s">
        <v>5683</v>
      </c>
      <c t="s">
        <v>5097</v>
      </c>
      <c t="s">
        <v>5684</v>
      </c>
    </row>
    <row r="224" spans="1:7" ht="11.25" customHeight="1">
      <c r="A224" s="375" t="s">
        <v>16</v>
      </c>
      <c t="s">
        <v>5659</v>
      </c>
      <c t="s">
        <v>5660</v>
      </c>
      <c t="s">
        <v>5685</v>
      </c>
      <c t="s">
        <v>5686</v>
      </c>
      <c t="s">
        <v>5097</v>
      </c>
      <c t="s">
        <v>5687</v>
      </c>
    </row>
    <row r="225" spans="1:7" ht="11.25" customHeight="1">
      <c r="A225" s="375" t="s">
        <v>16</v>
      </c>
      <c t="s">
        <v>5659</v>
      </c>
      <c t="s">
        <v>5660</v>
      </c>
      <c t="s">
        <v>5688</v>
      </c>
      <c t="s">
        <v>5689</v>
      </c>
      <c t="s">
        <v>5097</v>
      </c>
      <c t="s">
        <v>5690</v>
      </c>
    </row>
    <row r="226" spans="1:7" ht="11.25" customHeight="1">
      <c r="A226" s="375" t="s">
        <v>16</v>
      </c>
      <c t="s">
        <v>5659</v>
      </c>
      <c t="s">
        <v>5660</v>
      </c>
      <c t="s">
        <v>5154</v>
      </c>
      <c t="s">
        <v>5691</v>
      </c>
      <c t="s">
        <v>5097</v>
      </c>
      <c t="s">
        <v>5692</v>
      </c>
    </row>
    <row r="227" spans="1:7" ht="11.25" customHeight="1">
      <c r="A227" s="375" t="s">
        <v>16</v>
      </c>
      <c t="s">
        <v>5659</v>
      </c>
      <c t="s">
        <v>5660</v>
      </c>
      <c t="s">
        <v>5693</v>
      </c>
      <c t="s">
        <v>5694</v>
      </c>
      <c t="s">
        <v>5097</v>
      </c>
      <c t="s">
        <v>5695</v>
      </c>
    </row>
    <row r="228" spans="1:7" ht="11.25" customHeight="1">
      <c r="A228" s="375" t="s">
        <v>16</v>
      </c>
      <c t="s">
        <v>5696</v>
      </c>
      <c t="s">
        <v>5697</v>
      </c>
      <c t="s">
        <v>5698</v>
      </c>
      <c t="s">
        <v>5699</v>
      </c>
      <c t="s">
        <v>5097</v>
      </c>
      <c t="s">
        <v>5700</v>
      </c>
    </row>
    <row r="229" spans="1:7" ht="11.25" customHeight="1">
      <c r="A229" s="375" t="s">
        <v>16</v>
      </c>
      <c t="s">
        <v>5696</v>
      </c>
      <c t="s">
        <v>5697</v>
      </c>
      <c t="s">
        <v>5701</v>
      </c>
      <c t="s">
        <v>5702</v>
      </c>
      <c t="s">
        <v>5097</v>
      </c>
      <c t="s">
        <v>5703</v>
      </c>
    </row>
    <row r="230" spans="1:7" ht="11.25" customHeight="1">
      <c r="A230" s="375" t="s">
        <v>16</v>
      </c>
      <c t="s">
        <v>5696</v>
      </c>
      <c t="s">
        <v>5697</v>
      </c>
      <c t="s">
        <v>5704</v>
      </c>
      <c t="s">
        <v>5705</v>
      </c>
      <c t="s">
        <v>5097</v>
      </c>
      <c t="s">
        <v>5706</v>
      </c>
    </row>
    <row r="231" spans="1:7" ht="11.25" customHeight="1">
      <c r="A231" s="375" t="s">
        <v>16</v>
      </c>
      <c t="s">
        <v>5696</v>
      </c>
      <c t="s">
        <v>5697</v>
      </c>
      <c t="s">
        <v>5707</v>
      </c>
      <c t="s">
        <v>5708</v>
      </c>
      <c t="s">
        <v>5097</v>
      </c>
      <c t="s">
        <v>5709</v>
      </c>
    </row>
    <row r="232" spans="1:7" ht="11.25" customHeight="1">
      <c r="A232" s="375" t="s">
        <v>16</v>
      </c>
      <c t="s">
        <v>5696</v>
      </c>
      <c t="s">
        <v>5697</v>
      </c>
      <c t="s">
        <v>5710</v>
      </c>
      <c t="s">
        <v>5711</v>
      </c>
      <c t="s">
        <v>5097</v>
      </c>
      <c t="s">
        <v>5712</v>
      </c>
    </row>
    <row r="233" spans="1:7" ht="11.25" customHeight="1">
      <c r="A233" s="375" t="s">
        <v>16</v>
      </c>
      <c t="s">
        <v>5696</v>
      </c>
      <c t="s">
        <v>5697</v>
      </c>
      <c t="s">
        <v>5713</v>
      </c>
      <c t="s">
        <v>5714</v>
      </c>
      <c t="s">
        <v>5097</v>
      </c>
      <c t="s">
        <v>5715</v>
      </c>
    </row>
    <row r="234" spans="1:7" ht="11.25" customHeight="1">
      <c r="A234" s="375" t="s">
        <v>16</v>
      </c>
      <c t="s">
        <v>5696</v>
      </c>
      <c t="s">
        <v>5697</v>
      </c>
      <c t="s">
        <v>5716</v>
      </c>
      <c t="s">
        <v>5717</v>
      </c>
      <c t="s">
        <v>5097</v>
      </c>
      <c t="s">
        <v>5718</v>
      </c>
    </row>
    <row r="235" spans="1:7" ht="11.25" customHeight="1">
      <c r="A235" s="375" t="s">
        <v>16</v>
      </c>
      <c t="s">
        <v>5696</v>
      </c>
      <c t="s">
        <v>5697</v>
      </c>
      <c t="s">
        <v>5719</v>
      </c>
      <c t="s">
        <v>5720</v>
      </c>
      <c t="s">
        <v>5097</v>
      </c>
      <c t="s">
        <v>5721</v>
      </c>
    </row>
    <row r="236" spans="1:7" ht="11.25" customHeight="1">
      <c r="A236" s="375" t="s">
        <v>16</v>
      </c>
      <c t="s">
        <v>5696</v>
      </c>
      <c t="s">
        <v>5697</v>
      </c>
      <c t="s">
        <v>5696</v>
      </c>
      <c t="s">
        <v>5697</v>
      </c>
      <c t="s">
        <v>5088</v>
      </c>
      <c t="s">
        <v>5722</v>
      </c>
    </row>
    <row r="237" spans="1:7" ht="11.25" customHeight="1">
      <c r="A237" s="375" t="s">
        <v>16</v>
      </c>
      <c t="s">
        <v>5696</v>
      </c>
      <c t="s">
        <v>5697</v>
      </c>
      <c t="s">
        <v>5723</v>
      </c>
      <c t="s">
        <v>5724</v>
      </c>
      <c t="s">
        <v>5094</v>
      </c>
      <c t="s">
        <v>5725</v>
      </c>
    </row>
    <row r="238" spans="1:7" ht="11.25" customHeight="1">
      <c r="A238" s="375" t="s">
        <v>16</v>
      </c>
      <c t="s">
        <v>5696</v>
      </c>
      <c t="s">
        <v>5697</v>
      </c>
      <c t="s">
        <v>5726</v>
      </c>
      <c t="s">
        <v>5727</v>
      </c>
      <c t="s">
        <v>5097</v>
      </c>
      <c t="s">
        <v>5728</v>
      </c>
    </row>
    <row r="239" spans="1:7" ht="11.25" customHeight="1">
      <c r="A239" s="375" t="s">
        <v>16</v>
      </c>
      <c t="s">
        <v>5696</v>
      </c>
      <c t="s">
        <v>5697</v>
      </c>
      <c t="s">
        <v>5729</v>
      </c>
      <c t="s">
        <v>5730</v>
      </c>
      <c t="s">
        <v>5094</v>
      </c>
      <c t="s">
        <v>5731</v>
      </c>
    </row>
    <row r="240" spans="1:7" ht="11.25" customHeight="1">
      <c r="A240" s="375" t="s">
        <v>16</v>
      </c>
      <c t="s">
        <v>5696</v>
      </c>
      <c t="s">
        <v>5697</v>
      </c>
      <c t="s">
        <v>5732</v>
      </c>
      <c t="s">
        <v>5733</v>
      </c>
      <c t="s">
        <v>5097</v>
      </c>
      <c t="s">
        <v>5734</v>
      </c>
    </row>
    <row r="241" spans="1:7" ht="11.25" customHeight="1">
      <c r="A241" s="375" t="s">
        <v>16</v>
      </c>
      <c t="s">
        <v>5696</v>
      </c>
      <c t="s">
        <v>5697</v>
      </c>
      <c t="s">
        <v>5735</v>
      </c>
      <c t="s">
        <v>5736</v>
      </c>
      <c t="s">
        <v>5097</v>
      </c>
      <c t="s">
        <v>5737</v>
      </c>
    </row>
    <row r="242" spans="1:7" ht="11.25" customHeight="1">
      <c r="A242" s="375" t="s">
        <v>16</v>
      </c>
      <c t="s">
        <v>5696</v>
      </c>
      <c t="s">
        <v>5697</v>
      </c>
      <c t="s">
        <v>5738</v>
      </c>
      <c t="s">
        <v>5739</v>
      </c>
      <c t="s">
        <v>5097</v>
      </c>
      <c t="s">
        <v>5740</v>
      </c>
    </row>
    <row r="243" spans="1:7" ht="11.25" customHeight="1">
      <c r="A243" s="375" t="s">
        <v>16</v>
      </c>
      <c t="s">
        <v>5741</v>
      </c>
      <c t="s">
        <v>5742</v>
      </c>
      <c t="s">
        <v>5741</v>
      </c>
      <c t="s">
        <v>5742</v>
      </c>
      <c t="s">
        <v>5657</v>
      </c>
      <c t="s">
        <v>5743</v>
      </c>
    </row>
    <row r="244" spans="1:7" ht="11.25" customHeight="1">
      <c r="A244" s="375" t="s">
        <v>16</v>
      </c>
      <c t="s">
        <v>5744</v>
      </c>
      <c t="s">
        <v>5745</v>
      </c>
      <c t="s">
        <v>5744</v>
      </c>
      <c t="s">
        <v>5745</v>
      </c>
      <c t="s">
        <v>5657</v>
      </c>
      <c t="s">
        <v>5746</v>
      </c>
    </row>
    <row r="245" spans="1:7" ht="11.25" customHeight="1">
      <c r="A245" s="375" t="s">
        <v>16</v>
      </c>
      <c t="s">
        <v>5747</v>
      </c>
      <c t="s">
        <v>5748</v>
      </c>
      <c t="s">
        <v>5749</v>
      </c>
      <c t="s">
        <v>5750</v>
      </c>
      <c t="s">
        <v>5097</v>
      </c>
      <c t="s">
        <v>5751</v>
      </c>
    </row>
    <row r="246" spans="1:7" ht="11.25" customHeight="1">
      <c r="A246" s="375" t="s">
        <v>16</v>
      </c>
      <c t="s">
        <v>5747</v>
      </c>
      <c t="s">
        <v>5748</v>
      </c>
      <c t="s">
        <v>5752</v>
      </c>
      <c t="s">
        <v>5753</v>
      </c>
      <c t="s">
        <v>5097</v>
      </c>
      <c t="s">
        <v>5754</v>
      </c>
    </row>
    <row r="247" spans="1:7" ht="11.25" customHeight="1">
      <c r="A247" s="375" t="s">
        <v>16</v>
      </c>
      <c t="s">
        <v>5747</v>
      </c>
      <c t="s">
        <v>5748</v>
      </c>
      <c t="s">
        <v>5755</v>
      </c>
      <c t="s">
        <v>5756</v>
      </c>
      <c t="s">
        <v>5097</v>
      </c>
      <c t="s">
        <v>5757</v>
      </c>
    </row>
    <row r="248" spans="1:7" ht="11.25" customHeight="1">
      <c r="A248" s="375" t="s">
        <v>16</v>
      </c>
      <c t="s">
        <v>5747</v>
      </c>
      <c t="s">
        <v>5748</v>
      </c>
      <c t="s">
        <v>5758</v>
      </c>
      <c t="s">
        <v>5759</v>
      </c>
      <c t="s">
        <v>5097</v>
      </c>
      <c t="s">
        <v>5760</v>
      </c>
    </row>
    <row r="249" spans="1:7" ht="11.25" customHeight="1">
      <c r="A249" s="375" t="s">
        <v>16</v>
      </c>
      <c t="s">
        <v>5747</v>
      </c>
      <c t="s">
        <v>5748</v>
      </c>
      <c t="s">
        <v>5747</v>
      </c>
      <c t="s">
        <v>5748</v>
      </c>
      <c t="s">
        <v>5088</v>
      </c>
      <c t="s">
        <v>5761</v>
      </c>
    </row>
    <row r="250" spans="1:7" ht="11.25" customHeight="1">
      <c r="A250" s="375" t="s">
        <v>16</v>
      </c>
      <c t="s">
        <v>5747</v>
      </c>
      <c t="s">
        <v>5748</v>
      </c>
      <c t="s">
        <v>5762</v>
      </c>
      <c t="s">
        <v>5763</v>
      </c>
      <c t="s">
        <v>5091</v>
      </c>
      <c t="s">
        <v>5764</v>
      </c>
    </row>
    <row r="251" spans="1:7" ht="11.25" customHeight="1">
      <c r="A251" s="375" t="s">
        <v>16</v>
      </c>
      <c t="s">
        <v>5747</v>
      </c>
      <c t="s">
        <v>5748</v>
      </c>
      <c t="s">
        <v>5177</v>
      </c>
      <c t="s">
        <v>5765</v>
      </c>
      <c t="s">
        <v>5097</v>
      </c>
      <c t="s">
        <v>5766</v>
      </c>
    </row>
    <row r="252" spans="1:7" ht="11.25" customHeight="1">
      <c r="A252" s="375" t="s">
        <v>16</v>
      </c>
      <c t="s">
        <v>5747</v>
      </c>
      <c t="s">
        <v>5748</v>
      </c>
      <c t="s">
        <v>5767</v>
      </c>
      <c t="s">
        <v>5768</v>
      </c>
      <c t="s">
        <v>5097</v>
      </c>
      <c t="s">
        <v>5769</v>
      </c>
    </row>
    <row r="253" spans="1:7" ht="11.25" customHeight="1">
      <c r="A253" s="375" t="s">
        <v>16</v>
      </c>
      <c t="s">
        <v>5747</v>
      </c>
      <c t="s">
        <v>5748</v>
      </c>
      <c t="s">
        <v>5770</v>
      </c>
      <c t="s">
        <v>5771</v>
      </c>
      <c t="s">
        <v>5097</v>
      </c>
      <c t="s">
        <v>5772</v>
      </c>
    </row>
    <row r="254" spans="1:7" ht="11.25" customHeight="1">
      <c r="A254" s="375" t="s">
        <v>16</v>
      </c>
      <c t="s">
        <v>5747</v>
      </c>
      <c t="s">
        <v>5748</v>
      </c>
      <c t="s">
        <v>5773</v>
      </c>
      <c t="s">
        <v>5774</v>
      </c>
      <c t="s">
        <v>5097</v>
      </c>
      <c t="s">
        <v>5775</v>
      </c>
    </row>
    <row r="255" spans="1:7" ht="11.25" customHeight="1">
      <c r="A255" s="375" t="s">
        <v>16</v>
      </c>
      <c t="s">
        <v>5776</v>
      </c>
      <c t="s">
        <v>5777</v>
      </c>
      <c t="s">
        <v>5778</v>
      </c>
      <c t="s">
        <v>5779</v>
      </c>
      <c t="s">
        <v>5097</v>
      </c>
      <c t="s">
        <v>5780</v>
      </c>
    </row>
    <row r="256" spans="1:7" ht="11.25" customHeight="1">
      <c r="A256" s="375" t="s">
        <v>16</v>
      </c>
      <c t="s">
        <v>5776</v>
      </c>
      <c t="s">
        <v>5777</v>
      </c>
      <c t="s">
        <v>5582</v>
      </c>
      <c t="s">
        <v>5781</v>
      </c>
      <c t="s">
        <v>5097</v>
      </c>
      <c t="s">
        <v>5782</v>
      </c>
    </row>
    <row r="257" spans="1:7" ht="11.25" customHeight="1">
      <c r="A257" s="375" t="s">
        <v>16</v>
      </c>
      <c t="s">
        <v>5776</v>
      </c>
      <c t="s">
        <v>5777</v>
      </c>
      <c t="s">
        <v>5783</v>
      </c>
      <c t="s">
        <v>5784</v>
      </c>
      <c t="s">
        <v>5097</v>
      </c>
      <c t="s">
        <v>5785</v>
      </c>
    </row>
    <row r="258" spans="1:7" ht="11.25" customHeight="1">
      <c r="A258" s="375" t="s">
        <v>16</v>
      </c>
      <c t="s">
        <v>5776</v>
      </c>
      <c t="s">
        <v>5777</v>
      </c>
      <c t="s">
        <v>5114</v>
      </c>
      <c t="s">
        <v>5786</v>
      </c>
      <c t="s">
        <v>5097</v>
      </c>
      <c t="s">
        <v>5787</v>
      </c>
    </row>
    <row r="259" spans="1:7" ht="11.25" customHeight="1">
      <c r="A259" s="375" t="s">
        <v>16</v>
      </c>
      <c t="s">
        <v>5776</v>
      </c>
      <c t="s">
        <v>5777</v>
      </c>
      <c t="s">
        <v>5788</v>
      </c>
      <c t="s">
        <v>5789</v>
      </c>
      <c t="s">
        <v>5097</v>
      </c>
      <c t="s">
        <v>5790</v>
      </c>
    </row>
    <row r="260" spans="1:7" ht="11.25" customHeight="1">
      <c r="A260" s="375" t="s">
        <v>16</v>
      </c>
      <c t="s">
        <v>5776</v>
      </c>
      <c t="s">
        <v>5777</v>
      </c>
      <c t="s">
        <v>5791</v>
      </c>
      <c t="s">
        <v>5792</v>
      </c>
      <c t="s">
        <v>5097</v>
      </c>
      <c t="s">
        <v>5793</v>
      </c>
    </row>
    <row r="261" spans="1:7" ht="11.25" customHeight="1">
      <c r="A261" s="375" t="s">
        <v>16</v>
      </c>
      <c t="s">
        <v>5776</v>
      </c>
      <c t="s">
        <v>5777</v>
      </c>
      <c t="s">
        <v>5776</v>
      </c>
      <c t="s">
        <v>5777</v>
      </c>
      <c t="s">
        <v>5088</v>
      </c>
      <c t="s">
        <v>5794</v>
      </c>
    </row>
    <row r="262" spans="1:7" ht="11.25" customHeight="1">
      <c r="A262" s="375" t="s">
        <v>16</v>
      </c>
      <c t="s">
        <v>5776</v>
      </c>
      <c t="s">
        <v>5777</v>
      </c>
      <c t="s">
        <v>5795</v>
      </c>
      <c t="s">
        <v>5796</v>
      </c>
      <c t="s">
        <v>5097</v>
      </c>
      <c t="s">
        <v>5797</v>
      </c>
    </row>
    <row r="263" spans="1:7" ht="11.25" customHeight="1">
      <c r="A263" s="375" t="s">
        <v>16</v>
      </c>
      <c t="s">
        <v>5776</v>
      </c>
      <c t="s">
        <v>5777</v>
      </c>
      <c t="s">
        <v>5798</v>
      </c>
      <c t="s">
        <v>5799</v>
      </c>
      <c t="s">
        <v>5097</v>
      </c>
      <c t="s">
        <v>5800</v>
      </c>
    </row>
    <row r="264" spans="1:7" ht="11.25" customHeight="1">
      <c r="A264" s="375" t="s">
        <v>16</v>
      </c>
      <c t="s">
        <v>5801</v>
      </c>
      <c t="s">
        <v>5802</v>
      </c>
      <c t="s">
        <v>5803</v>
      </c>
      <c t="s">
        <v>5804</v>
      </c>
      <c t="s">
        <v>5097</v>
      </c>
      <c t="s">
        <v>5805</v>
      </c>
    </row>
    <row r="265" spans="1:7" ht="11.25" customHeight="1">
      <c r="A265" s="375" t="s">
        <v>16</v>
      </c>
      <c t="s">
        <v>5801</v>
      </c>
      <c t="s">
        <v>5802</v>
      </c>
      <c t="s">
        <v>5806</v>
      </c>
      <c t="s">
        <v>5807</v>
      </c>
      <c t="s">
        <v>5097</v>
      </c>
      <c t="s">
        <v>5808</v>
      </c>
    </row>
    <row r="266" spans="1:7" ht="11.25" customHeight="1">
      <c r="A266" s="375" t="s">
        <v>16</v>
      </c>
      <c t="s">
        <v>5801</v>
      </c>
      <c t="s">
        <v>5802</v>
      </c>
      <c t="s">
        <v>5400</v>
      </c>
      <c t="s">
        <v>5809</v>
      </c>
      <c t="s">
        <v>5097</v>
      </c>
      <c t="s">
        <v>5810</v>
      </c>
    </row>
    <row r="267" spans="1:7" ht="11.25" customHeight="1">
      <c r="A267" s="375" t="s">
        <v>16</v>
      </c>
      <c t="s">
        <v>5801</v>
      </c>
      <c t="s">
        <v>5802</v>
      </c>
      <c t="s">
        <v>5811</v>
      </c>
      <c t="s">
        <v>5812</v>
      </c>
      <c t="s">
        <v>5097</v>
      </c>
      <c t="s">
        <v>5813</v>
      </c>
    </row>
    <row r="268" spans="1:7" ht="11.25" customHeight="1">
      <c r="A268" s="375" t="s">
        <v>16</v>
      </c>
      <c t="s">
        <v>5801</v>
      </c>
      <c t="s">
        <v>5802</v>
      </c>
      <c t="s">
        <v>5814</v>
      </c>
      <c t="s">
        <v>5815</v>
      </c>
      <c t="s">
        <v>5097</v>
      </c>
      <c t="s">
        <v>5816</v>
      </c>
    </row>
    <row r="269" spans="1:7" ht="11.25" customHeight="1">
      <c r="A269" s="375" t="s">
        <v>16</v>
      </c>
      <c t="s">
        <v>5801</v>
      </c>
      <c t="s">
        <v>5802</v>
      </c>
      <c t="s">
        <v>5817</v>
      </c>
      <c t="s">
        <v>5818</v>
      </c>
      <c t="s">
        <v>5097</v>
      </c>
      <c t="s">
        <v>5819</v>
      </c>
    </row>
    <row r="270" spans="1:7" ht="11.25" customHeight="1">
      <c r="A270" s="375" t="s">
        <v>16</v>
      </c>
      <c t="s">
        <v>5801</v>
      </c>
      <c t="s">
        <v>5802</v>
      </c>
      <c t="s">
        <v>5801</v>
      </c>
      <c t="s">
        <v>5802</v>
      </c>
      <c t="s">
        <v>5088</v>
      </c>
      <c t="s">
        <v>5820</v>
      </c>
    </row>
    <row r="271" spans="1:7" ht="11.25" customHeight="1">
      <c r="A271" s="375" t="s">
        <v>16</v>
      </c>
      <c t="s">
        <v>5801</v>
      </c>
      <c t="s">
        <v>5802</v>
      </c>
      <c t="s">
        <v>5821</v>
      </c>
      <c t="s">
        <v>5822</v>
      </c>
      <c t="s">
        <v>5097</v>
      </c>
      <c t="s">
        <v>5823</v>
      </c>
    </row>
    <row r="272" spans="1:7" ht="11.25" customHeight="1">
      <c r="A272" s="375" t="s">
        <v>16</v>
      </c>
      <c t="s">
        <v>5801</v>
      </c>
      <c t="s">
        <v>5802</v>
      </c>
      <c t="s">
        <v>5824</v>
      </c>
      <c t="s">
        <v>5825</v>
      </c>
      <c t="s">
        <v>5097</v>
      </c>
      <c t="s">
        <v>5826</v>
      </c>
    </row>
    <row r="273" spans="1:7" ht="11.25" customHeight="1">
      <c r="A273" s="375" t="s">
        <v>16</v>
      </c>
      <c t="s">
        <v>5801</v>
      </c>
      <c t="s">
        <v>5802</v>
      </c>
      <c t="s">
        <v>5827</v>
      </c>
      <c t="s">
        <v>5828</v>
      </c>
      <c t="s">
        <v>5097</v>
      </c>
      <c t="s">
        <v>5829</v>
      </c>
    </row>
    <row r="274" spans="1:7" ht="11.25" customHeight="1">
      <c r="A274" s="375" t="s">
        <v>16</v>
      </c>
      <c t="s">
        <v>5801</v>
      </c>
      <c t="s">
        <v>5802</v>
      </c>
      <c t="s">
        <v>5830</v>
      </c>
      <c t="s">
        <v>5831</v>
      </c>
      <c t="s">
        <v>5097</v>
      </c>
      <c t="s">
        <v>5832</v>
      </c>
    </row>
    <row r="275" spans="1:7" ht="11.25" customHeight="1">
      <c r="A275" s="375" t="s">
        <v>16</v>
      </c>
      <c t="s">
        <v>5801</v>
      </c>
      <c t="s">
        <v>5802</v>
      </c>
      <c t="s">
        <v>5833</v>
      </c>
      <c t="s">
        <v>5834</v>
      </c>
      <c t="s">
        <v>5097</v>
      </c>
      <c t="s">
        <v>5835</v>
      </c>
    </row>
    <row r="276" spans="1:7" ht="11.25" customHeight="1">
      <c r="A276" s="375" t="s">
        <v>16</v>
      </c>
      <c t="s">
        <v>5801</v>
      </c>
      <c t="s">
        <v>5802</v>
      </c>
      <c t="s">
        <v>5836</v>
      </c>
      <c t="s">
        <v>5837</v>
      </c>
      <c t="s">
        <v>5097</v>
      </c>
      <c t="s">
        <v>5838</v>
      </c>
    </row>
    <row r="277" spans="1:7" ht="11.25" customHeight="1">
      <c r="A277" s="375" t="s">
        <v>16</v>
      </c>
      <c t="s">
        <v>5801</v>
      </c>
      <c t="s">
        <v>5802</v>
      </c>
      <c t="s">
        <v>5839</v>
      </c>
      <c t="s">
        <v>5840</v>
      </c>
      <c t="s">
        <v>5097</v>
      </c>
      <c t="s">
        <v>5841</v>
      </c>
    </row>
    <row r="278" spans="1:7" ht="11.25" customHeight="1">
      <c r="A278" s="375" t="s">
        <v>16</v>
      </c>
      <c t="s">
        <v>5801</v>
      </c>
      <c t="s">
        <v>5802</v>
      </c>
      <c t="s">
        <v>5842</v>
      </c>
      <c t="s">
        <v>5843</v>
      </c>
      <c t="s">
        <v>5097</v>
      </c>
      <c t="s">
        <v>5844</v>
      </c>
    </row>
    <row r="279" spans="1:7" ht="11.25" customHeight="1">
      <c r="A279" s="375" t="s">
        <v>16</v>
      </c>
      <c t="s">
        <v>5845</v>
      </c>
      <c t="s">
        <v>5846</v>
      </c>
      <c t="s">
        <v>5847</v>
      </c>
      <c t="s">
        <v>5848</v>
      </c>
      <c t="s">
        <v>5097</v>
      </c>
      <c t="s">
        <v>5849</v>
      </c>
    </row>
    <row r="280" spans="1:7" ht="11.25" customHeight="1">
      <c r="A280" s="375" t="s">
        <v>16</v>
      </c>
      <c t="s">
        <v>5845</v>
      </c>
      <c t="s">
        <v>5846</v>
      </c>
      <c t="s">
        <v>5850</v>
      </c>
      <c t="s">
        <v>5851</v>
      </c>
      <c t="s">
        <v>5097</v>
      </c>
      <c t="s">
        <v>5852</v>
      </c>
    </row>
    <row r="281" spans="1:7" ht="11.25" customHeight="1">
      <c r="A281" s="375" t="s">
        <v>16</v>
      </c>
      <c t="s">
        <v>5845</v>
      </c>
      <c t="s">
        <v>5846</v>
      </c>
      <c t="s">
        <v>5788</v>
      </c>
      <c t="s">
        <v>5853</v>
      </c>
      <c t="s">
        <v>5097</v>
      </c>
      <c t="s">
        <v>5854</v>
      </c>
    </row>
    <row r="282" spans="1:7" ht="11.25" customHeight="1">
      <c r="A282" s="375" t="s">
        <v>16</v>
      </c>
      <c t="s">
        <v>5845</v>
      </c>
      <c t="s">
        <v>5846</v>
      </c>
      <c t="s">
        <v>5855</v>
      </c>
      <c t="s">
        <v>5856</v>
      </c>
      <c t="s">
        <v>5097</v>
      </c>
      <c t="s">
        <v>5857</v>
      </c>
    </row>
    <row r="283" spans="1:7" ht="11.25" customHeight="1">
      <c r="A283" s="375" t="s">
        <v>16</v>
      </c>
      <c t="s">
        <v>5845</v>
      </c>
      <c t="s">
        <v>5846</v>
      </c>
      <c t="s">
        <v>5858</v>
      </c>
      <c t="s">
        <v>5859</v>
      </c>
      <c t="s">
        <v>5097</v>
      </c>
      <c t="s">
        <v>5860</v>
      </c>
    </row>
    <row r="284" spans="1:7" ht="11.25" customHeight="1">
      <c r="A284" s="375" t="s">
        <v>16</v>
      </c>
      <c t="s">
        <v>5845</v>
      </c>
      <c t="s">
        <v>5846</v>
      </c>
      <c t="s">
        <v>5861</v>
      </c>
      <c t="s">
        <v>5862</v>
      </c>
      <c t="s">
        <v>5097</v>
      </c>
      <c t="s">
        <v>5863</v>
      </c>
    </row>
    <row r="285" spans="1:7" ht="11.25" customHeight="1">
      <c r="A285" s="375" t="s">
        <v>16</v>
      </c>
      <c t="s">
        <v>5845</v>
      </c>
      <c t="s">
        <v>5846</v>
      </c>
      <c t="s">
        <v>5845</v>
      </c>
      <c t="s">
        <v>5846</v>
      </c>
      <c t="s">
        <v>5088</v>
      </c>
      <c t="s">
        <v>5864</v>
      </c>
    </row>
    <row r="286" spans="1:7" ht="11.25" customHeight="1">
      <c r="A286" s="375" t="s">
        <v>16</v>
      </c>
      <c t="s">
        <v>5845</v>
      </c>
      <c t="s">
        <v>5846</v>
      </c>
      <c t="s">
        <v>5865</v>
      </c>
      <c t="s">
        <v>5866</v>
      </c>
      <c t="s">
        <v>5097</v>
      </c>
      <c t="s">
        <v>5867</v>
      </c>
    </row>
    <row r="287" spans="1:7" ht="11.25" customHeight="1">
      <c r="A287" s="375" t="s">
        <v>16</v>
      </c>
      <c t="s">
        <v>5845</v>
      </c>
      <c t="s">
        <v>5846</v>
      </c>
      <c t="s">
        <v>5868</v>
      </c>
      <c t="s">
        <v>5869</v>
      </c>
      <c t="s">
        <v>5097</v>
      </c>
      <c t="s">
        <v>5870</v>
      </c>
    </row>
    <row r="288" spans="1:7" ht="11.25" customHeight="1">
      <c r="A288" s="375" t="s">
        <v>16</v>
      </c>
      <c t="s">
        <v>5845</v>
      </c>
      <c t="s">
        <v>5846</v>
      </c>
      <c t="s">
        <v>5871</v>
      </c>
      <c t="s">
        <v>5872</v>
      </c>
      <c t="s">
        <v>5097</v>
      </c>
      <c t="s">
        <v>5873</v>
      </c>
    </row>
    <row r="289" spans="1:7" ht="11.25" customHeight="1">
      <c r="A289" s="375" t="s">
        <v>16</v>
      </c>
      <c t="s">
        <v>5845</v>
      </c>
      <c t="s">
        <v>5846</v>
      </c>
      <c t="s">
        <v>5874</v>
      </c>
      <c t="s">
        <v>5875</v>
      </c>
      <c t="s">
        <v>5097</v>
      </c>
      <c t="s">
        <v>5876</v>
      </c>
    </row>
    <row r="290" spans="1:7" ht="11.25" customHeight="1">
      <c r="A290" s="375" t="s">
        <v>16</v>
      </c>
      <c t="s">
        <v>5845</v>
      </c>
      <c t="s">
        <v>5846</v>
      </c>
      <c t="s">
        <v>5646</v>
      </c>
      <c t="s">
        <v>5877</v>
      </c>
      <c t="s">
        <v>5097</v>
      </c>
      <c t="s">
        <v>5878</v>
      </c>
    </row>
    <row r="291" spans="1:7" ht="11.25" customHeight="1">
      <c r="A291" s="375" t="s">
        <v>16</v>
      </c>
      <c t="s">
        <v>5879</v>
      </c>
      <c t="s">
        <v>5880</v>
      </c>
      <c t="s">
        <v>5879</v>
      </c>
      <c t="s">
        <v>5880</v>
      </c>
      <c t="s">
        <v>5657</v>
      </c>
      <c t="s">
        <v>5881</v>
      </c>
    </row>
    <row r="292" spans="1:7" ht="11.25" customHeight="1">
      <c r="A292" s="375" t="s">
        <v>16</v>
      </c>
      <c t="s">
        <v>5882</v>
      </c>
      <c t="s">
        <v>5883</v>
      </c>
      <c t="s">
        <v>5884</v>
      </c>
      <c t="s">
        <v>5885</v>
      </c>
      <c t="s">
        <v>5097</v>
      </c>
      <c t="s">
        <v>5886</v>
      </c>
    </row>
    <row r="293" spans="1:7" ht="11.25" customHeight="1">
      <c r="A293" s="375" t="s">
        <v>16</v>
      </c>
      <c t="s">
        <v>5882</v>
      </c>
      <c t="s">
        <v>5883</v>
      </c>
      <c t="s">
        <v>5887</v>
      </c>
      <c t="s">
        <v>5888</v>
      </c>
      <c t="s">
        <v>5097</v>
      </c>
      <c t="s">
        <v>5889</v>
      </c>
    </row>
    <row r="294" spans="1:7" ht="11.25" customHeight="1">
      <c r="A294" s="375" t="s">
        <v>16</v>
      </c>
      <c t="s">
        <v>5882</v>
      </c>
      <c t="s">
        <v>5883</v>
      </c>
      <c t="s">
        <v>5890</v>
      </c>
      <c t="s">
        <v>5891</v>
      </c>
      <c t="s">
        <v>5097</v>
      </c>
      <c t="s">
        <v>5892</v>
      </c>
    </row>
    <row r="295" spans="1:7" ht="11.25" customHeight="1">
      <c r="A295" s="375" t="s">
        <v>16</v>
      </c>
      <c t="s">
        <v>5882</v>
      </c>
      <c t="s">
        <v>5883</v>
      </c>
      <c t="s">
        <v>5795</v>
      </c>
      <c t="s">
        <v>5893</v>
      </c>
      <c t="s">
        <v>5097</v>
      </c>
      <c t="s">
        <v>5894</v>
      </c>
    </row>
    <row r="296" spans="1:7" ht="11.25" customHeight="1">
      <c r="A296" s="375" t="s">
        <v>16</v>
      </c>
      <c t="s">
        <v>5882</v>
      </c>
      <c t="s">
        <v>5883</v>
      </c>
      <c t="s">
        <v>5100</v>
      </c>
      <c t="s">
        <v>5895</v>
      </c>
      <c t="s">
        <v>5097</v>
      </c>
      <c t="s">
        <v>5896</v>
      </c>
    </row>
    <row r="297" spans="1:7" ht="11.25" customHeight="1">
      <c r="A297" s="375" t="s">
        <v>16</v>
      </c>
      <c t="s">
        <v>5882</v>
      </c>
      <c t="s">
        <v>5883</v>
      </c>
      <c t="s">
        <v>5897</v>
      </c>
      <c t="s">
        <v>5898</v>
      </c>
      <c t="s">
        <v>5097</v>
      </c>
      <c t="s">
        <v>5899</v>
      </c>
    </row>
    <row r="298" spans="1:7" ht="11.25" customHeight="1">
      <c r="A298" s="375" t="s">
        <v>16</v>
      </c>
      <c t="s">
        <v>5882</v>
      </c>
      <c t="s">
        <v>5883</v>
      </c>
      <c t="s">
        <v>5882</v>
      </c>
      <c t="s">
        <v>5883</v>
      </c>
      <c t="s">
        <v>5088</v>
      </c>
      <c t="s">
        <v>5900</v>
      </c>
    </row>
    <row r="299" spans="1:7" ht="11.25" customHeight="1">
      <c r="A299" s="375" t="s">
        <v>16</v>
      </c>
      <c t="s">
        <v>5882</v>
      </c>
      <c t="s">
        <v>5883</v>
      </c>
      <c t="s">
        <v>5901</v>
      </c>
      <c t="s">
        <v>5902</v>
      </c>
      <c t="s">
        <v>5091</v>
      </c>
      <c t="s">
        <v>5903</v>
      </c>
    </row>
    <row r="300" spans="1:7" ht="11.25" customHeight="1">
      <c r="A300" s="375" t="s">
        <v>16</v>
      </c>
      <c t="s">
        <v>5882</v>
      </c>
      <c t="s">
        <v>5883</v>
      </c>
      <c t="s">
        <v>5904</v>
      </c>
      <c t="s">
        <v>5905</v>
      </c>
      <c t="s">
        <v>5097</v>
      </c>
      <c t="s">
        <v>5906</v>
      </c>
    </row>
    <row r="301" spans="1:7" ht="11.25" customHeight="1">
      <c r="A301" s="375" t="s">
        <v>16</v>
      </c>
      <c t="s">
        <v>5882</v>
      </c>
      <c t="s">
        <v>5883</v>
      </c>
      <c t="s">
        <v>5907</v>
      </c>
      <c t="s">
        <v>5908</v>
      </c>
      <c t="s">
        <v>5097</v>
      </c>
      <c t="s">
        <v>5909</v>
      </c>
    </row>
    <row r="302" spans="1:7" ht="11.25" customHeight="1">
      <c r="A302" s="375" t="s">
        <v>16</v>
      </c>
      <c t="s">
        <v>5910</v>
      </c>
      <c t="s">
        <v>5911</v>
      </c>
      <c t="s">
        <v>5912</v>
      </c>
      <c t="s">
        <v>5913</v>
      </c>
      <c t="s">
        <v>5097</v>
      </c>
      <c t="s">
        <v>5914</v>
      </c>
    </row>
    <row r="303" spans="1:7" ht="11.25" customHeight="1">
      <c r="A303" s="375" t="s">
        <v>16</v>
      </c>
      <c t="s">
        <v>5910</v>
      </c>
      <c t="s">
        <v>5911</v>
      </c>
      <c t="s">
        <v>5915</v>
      </c>
      <c t="s">
        <v>5916</v>
      </c>
      <c t="s">
        <v>5094</v>
      </c>
      <c t="s">
        <v>5917</v>
      </c>
    </row>
    <row r="304" spans="1:7" ht="11.25" customHeight="1">
      <c r="A304" s="375" t="s">
        <v>16</v>
      </c>
      <c t="s">
        <v>5910</v>
      </c>
      <c t="s">
        <v>5911</v>
      </c>
      <c t="s">
        <v>5918</v>
      </c>
      <c t="s">
        <v>5919</v>
      </c>
      <c t="s">
        <v>5097</v>
      </c>
      <c t="s">
        <v>5920</v>
      </c>
    </row>
    <row r="305" spans="1:7" ht="11.25" customHeight="1">
      <c r="A305" s="375" t="s">
        <v>16</v>
      </c>
      <c t="s">
        <v>5910</v>
      </c>
      <c t="s">
        <v>5911</v>
      </c>
      <c t="s">
        <v>5921</v>
      </c>
      <c t="s">
        <v>5922</v>
      </c>
      <c t="s">
        <v>5094</v>
      </c>
      <c t="s">
        <v>5923</v>
      </c>
    </row>
    <row r="306" spans="1:7" ht="11.25" customHeight="1">
      <c r="A306" s="375" t="s">
        <v>16</v>
      </c>
      <c t="s">
        <v>5910</v>
      </c>
      <c t="s">
        <v>5911</v>
      </c>
      <c t="s">
        <v>5924</v>
      </c>
      <c t="s">
        <v>5925</v>
      </c>
      <c t="s">
        <v>5097</v>
      </c>
      <c t="s">
        <v>5926</v>
      </c>
    </row>
    <row r="307" spans="1:7" ht="11.25" customHeight="1">
      <c r="A307" s="375" t="s">
        <v>16</v>
      </c>
      <c t="s">
        <v>5910</v>
      </c>
      <c t="s">
        <v>5911</v>
      </c>
      <c t="s">
        <v>5927</v>
      </c>
      <c t="s">
        <v>5928</v>
      </c>
      <c t="s">
        <v>5097</v>
      </c>
      <c t="s">
        <v>5929</v>
      </c>
    </row>
    <row r="308" spans="1:7" ht="11.25" customHeight="1">
      <c r="A308" s="375" t="s">
        <v>16</v>
      </c>
      <c t="s">
        <v>5910</v>
      </c>
      <c t="s">
        <v>5911</v>
      </c>
      <c t="s">
        <v>5561</v>
      </c>
      <c t="s">
        <v>5930</v>
      </c>
      <c t="s">
        <v>5097</v>
      </c>
      <c t="s">
        <v>5931</v>
      </c>
    </row>
    <row r="309" spans="1:7" ht="11.25" customHeight="1">
      <c r="A309" s="375" t="s">
        <v>16</v>
      </c>
      <c t="s">
        <v>5910</v>
      </c>
      <c t="s">
        <v>5911</v>
      </c>
      <c t="s">
        <v>5932</v>
      </c>
      <c t="s">
        <v>5933</v>
      </c>
      <c t="s">
        <v>5097</v>
      </c>
      <c t="s">
        <v>5934</v>
      </c>
    </row>
    <row r="310" spans="1:7" ht="11.25" customHeight="1">
      <c r="A310" s="375" t="s">
        <v>16</v>
      </c>
      <c t="s">
        <v>5910</v>
      </c>
      <c t="s">
        <v>5911</v>
      </c>
      <c t="s">
        <v>5910</v>
      </c>
      <c t="s">
        <v>5911</v>
      </c>
      <c t="s">
        <v>5088</v>
      </c>
      <c t="s">
        <v>5935</v>
      </c>
    </row>
    <row r="311" spans="1:7" ht="11.25" customHeight="1">
      <c r="A311" s="375" t="s">
        <v>16</v>
      </c>
      <c t="s">
        <v>5910</v>
      </c>
      <c t="s">
        <v>5911</v>
      </c>
      <c t="s">
        <v>5936</v>
      </c>
      <c t="s">
        <v>5937</v>
      </c>
      <c t="s">
        <v>5097</v>
      </c>
      <c t="s">
        <v>5938</v>
      </c>
    </row>
    <row r="312" spans="1:7" ht="11.25" customHeight="1">
      <c r="A312" s="375" t="s">
        <v>16</v>
      </c>
      <c t="s">
        <v>5910</v>
      </c>
      <c t="s">
        <v>5911</v>
      </c>
      <c t="s">
        <v>5939</v>
      </c>
      <c t="s">
        <v>5940</v>
      </c>
      <c t="s">
        <v>5097</v>
      </c>
      <c t="s">
        <v>5941</v>
      </c>
    </row>
    <row r="313" spans="1:7" ht="11.25" customHeight="1">
      <c r="A313" s="375" t="s">
        <v>16</v>
      </c>
      <c t="s">
        <v>5910</v>
      </c>
      <c t="s">
        <v>5911</v>
      </c>
      <c t="s">
        <v>5942</v>
      </c>
      <c t="s">
        <v>5943</v>
      </c>
      <c t="s">
        <v>5094</v>
      </c>
      <c t="s">
        <v>5944</v>
      </c>
    </row>
    <row r="314" spans="1:7" ht="11.25" customHeight="1">
      <c r="A314" s="375" t="s">
        <v>16</v>
      </c>
      <c t="s">
        <v>5910</v>
      </c>
      <c t="s">
        <v>5911</v>
      </c>
      <c t="s">
        <v>5945</v>
      </c>
      <c t="s">
        <v>5946</v>
      </c>
      <c t="s">
        <v>5097</v>
      </c>
      <c t="s">
        <v>5947</v>
      </c>
    </row>
    <row r="315" spans="1:7" ht="11.25" customHeight="1">
      <c r="A315" s="375" t="s">
        <v>16</v>
      </c>
      <c t="s">
        <v>5948</v>
      </c>
      <c t="s">
        <v>5949</v>
      </c>
      <c t="s">
        <v>5948</v>
      </c>
      <c t="s">
        <v>5949</v>
      </c>
      <c t="s">
        <v>5209</v>
      </c>
      <c t="s">
        <v>5950</v>
      </c>
    </row>
    <row r="316" spans="1:7" ht="11.25" customHeight="1">
      <c r="A316" s="375" t="s">
        <v>16</v>
      </c>
      <c t="s">
        <v>5951</v>
      </c>
      <c t="s">
        <v>5952</v>
      </c>
      <c t="s">
        <v>5953</v>
      </c>
      <c t="s">
        <v>5954</v>
      </c>
      <c t="s">
        <v>5097</v>
      </c>
      <c t="s">
        <v>5955</v>
      </c>
    </row>
    <row r="317" spans="1:7" ht="11.25" customHeight="1">
      <c r="A317" s="375" t="s">
        <v>16</v>
      </c>
      <c t="s">
        <v>5951</v>
      </c>
      <c t="s">
        <v>5952</v>
      </c>
      <c t="s">
        <v>5956</v>
      </c>
      <c t="s">
        <v>5957</v>
      </c>
      <c t="s">
        <v>5097</v>
      </c>
      <c t="s">
        <v>5958</v>
      </c>
    </row>
    <row r="318" spans="1:7" ht="11.25" customHeight="1">
      <c r="A318" s="375" t="s">
        <v>16</v>
      </c>
      <c t="s">
        <v>5951</v>
      </c>
      <c t="s">
        <v>5952</v>
      </c>
      <c t="s">
        <v>5959</v>
      </c>
      <c t="s">
        <v>5960</v>
      </c>
      <c t="s">
        <v>5097</v>
      </c>
      <c t="s">
        <v>5961</v>
      </c>
    </row>
    <row r="319" spans="1:7" ht="11.25" customHeight="1">
      <c r="A319" s="375" t="s">
        <v>16</v>
      </c>
      <c t="s">
        <v>5951</v>
      </c>
      <c t="s">
        <v>5952</v>
      </c>
      <c t="s">
        <v>5962</v>
      </c>
      <c t="s">
        <v>5963</v>
      </c>
      <c t="s">
        <v>5097</v>
      </c>
      <c t="s">
        <v>5964</v>
      </c>
    </row>
    <row r="320" spans="1:7" ht="11.25" customHeight="1">
      <c r="A320" s="375" t="s">
        <v>16</v>
      </c>
      <c t="s">
        <v>5951</v>
      </c>
      <c t="s">
        <v>5952</v>
      </c>
      <c t="s">
        <v>5965</v>
      </c>
      <c t="s">
        <v>5966</v>
      </c>
      <c t="s">
        <v>5097</v>
      </c>
      <c t="s">
        <v>5967</v>
      </c>
    </row>
    <row r="321" spans="1:7" ht="11.25" customHeight="1">
      <c r="A321" s="375" t="s">
        <v>16</v>
      </c>
      <c t="s">
        <v>5951</v>
      </c>
      <c t="s">
        <v>5952</v>
      </c>
      <c t="s">
        <v>5968</v>
      </c>
      <c t="s">
        <v>5969</v>
      </c>
      <c t="s">
        <v>5097</v>
      </c>
      <c t="s">
        <v>5970</v>
      </c>
    </row>
    <row r="322" spans="1:7" ht="11.25" customHeight="1">
      <c r="A322" s="375" t="s">
        <v>16</v>
      </c>
      <c t="s">
        <v>5951</v>
      </c>
      <c t="s">
        <v>5952</v>
      </c>
      <c t="s">
        <v>5971</v>
      </c>
      <c t="s">
        <v>5972</v>
      </c>
      <c t="s">
        <v>5097</v>
      </c>
      <c t="s">
        <v>5973</v>
      </c>
    </row>
    <row r="323" spans="1:7" ht="11.25" customHeight="1">
      <c r="A323" s="375" t="s">
        <v>16</v>
      </c>
      <c t="s">
        <v>5951</v>
      </c>
      <c t="s">
        <v>5952</v>
      </c>
      <c t="s">
        <v>5974</v>
      </c>
      <c t="s">
        <v>5975</v>
      </c>
      <c t="s">
        <v>5097</v>
      </c>
      <c t="s">
        <v>5976</v>
      </c>
    </row>
    <row r="324" spans="1:7" ht="11.25" customHeight="1">
      <c r="A324" s="375" t="s">
        <v>16</v>
      </c>
      <c t="s">
        <v>5951</v>
      </c>
      <c t="s">
        <v>5952</v>
      </c>
      <c t="s">
        <v>5977</v>
      </c>
      <c t="s">
        <v>5978</v>
      </c>
      <c t="s">
        <v>5097</v>
      </c>
      <c t="s">
        <v>5979</v>
      </c>
    </row>
    <row r="325" spans="1:7" ht="11.25" customHeight="1">
      <c r="A325" s="375" t="s">
        <v>16</v>
      </c>
      <c t="s">
        <v>5951</v>
      </c>
      <c t="s">
        <v>5952</v>
      </c>
      <c t="s">
        <v>5767</v>
      </c>
      <c t="s">
        <v>5980</v>
      </c>
      <c t="s">
        <v>5097</v>
      </c>
      <c t="s">
        <v>5981</v>
      </c>
    </row>
    <row r="326" spans="1:7" ht="11.25" customHeight="1">
      <c r="A326" s="375" t="s">
        <v>16</v>
      </c>
      <c t="s">
        <v>5951</v>
      </c>
      <c t="s">
        <v>5952</v>
      </c>
      <c t="s">
        <v>5982</v>
      </c>
      <c t="s">
        <v>5983</v>
      </c>
      <c t="s">
        <v>5097</v>
      </c>
      <c t="s">
        <v>5984</v>
      </c>
    </row>
    <row r="327" spans="1:7" ht="11.25" customHeight="1">
      <c r="A327" s="375" t="s">
        <v>16</v>
      </c>
      <c t="s">
        <v>5951</v>
      </c>
      <c t="s">
        <v>5952</v>
      </c>
      <c t="s">
        <v>5985</v>
      </c>
      <c t="s">
        <v>5986</v>
      </c>
      <c t="s">
        <v>5097</v>
      </c>
      <c t="s">
        <v>5987</v>
      </c>
    </row>
    <row r="328" spans="1:7" ht="11.25" customHeight="1">
      <c r="A328" s="375" t="s">
        <v>16</v>
      </c>
      <c t="s">
        <v>5951</v>
      </c>
      <c t="s">
        <v>5952</v>
      </c>
      <c t="s">
        <v>5951</v>
      </c>
      <c t="s">
        <v>5952</v>
      </c>
      <c t="s">
        <v>5088</v>
      </c>
      <c t="s">
        <v>5988</v>
      </c>
    </row>
    <row r="329" spans="1:7" ht="11.25" customHeight="1">
      <c r="A329" s="375" t="s">
        <v>16</v>
      </c>
      <c t="s">
        <v>5951</v>
      </c>
      <c t="s">
        <v>5952</v>
      </c>
      <c t="s">
        <v>5989</v>
      </c>
      <c t="s">
        <v>5990</v>
      </c>
      <c t="s">
        <v>5091</v>
      </c>
      <c t="s">
        <v>5991</v>
      </c>
    </row>
    <row r="330" spans="1:7" ht="11.25" customHeight="1">
      <c r="A330" s="375" t="s">
        <v>16</v>
      </c>
      <c t="s">
        <v>5951</v>
      </c>
      <c t="s">
        <v>5952</v>
      </c>
      <c t="s">
        <v>5992</v>
      </c>
      <c t="s">
        <v>5993</v>
      </c>
      <c t="s">
        <v>5097</v>
      </c>
      <c t="s">
        <v>5994</v>
      </c>
    </row>
    <row r="331" spans="1:7" ht="11.25" customHeight="1">
      <c r="A331" s="375" t="s">
        <v>16</v>
      </c>
      <c t="s">
        <v>5951</v>
      </c>
      <c t="s">
        <v>5952</v>
      </c>
      <c t="s">
        <v>5995</v>
      </c>
      <c t="s">
        <v>5996</v>
      </c>
      <c t="s">
        <v>5097</v>
      </c>
      <c t="s">
        <v>5997</v>
      </c>
    </row>
    <row r="332" spans="1:7" ht="11.25" customHeight="1">
      <c r="A332" s="375" t="s">
        <v>16</v>
      </c>
      <c t="s">
        <v>5998</v>
      </c>
      <c t="s">
        <v>5999</v>
      </c>
      <c t="s">
        <v>6000</v>
      </c>
      <c t="s">
        <v>6001</v>
      </c>
      <c t="s">
        <v>5097</v>
      </c>
      <c t="s">
        <v>6002</v>
      </c>
    </row>
    <row r="333" spans="1:7" ht="11.25" customHeight="1">
      <c r="A333" s="375" t="s">
        <v>16</v>
      </c>
      <c t="s">
        <v>5998</v>
      </c>
      <c t="s">
        <v>5999</v>
      </c>
      <c t="s">
        <v>5385</v>
      </c>
      <c t="s">
        <v>6003</v>
      </c>
      <c t="s">
        <v>5097</v>
      </c>
      <c t="s">
        <v>6004</v>
      </c>
    </row>
    <row r="334" spans="1:7" ht="11.25" customHeight="1">
      <c r="A334" s="375" t="s">
        <v>16</v>
      </c>
      <c t="s">
        <v>5998</v>
      </c>
      <c t="s">
        <v>5999</v>
      </c>
      <c t="s">
        <v>6005</v>
      </c>
      <c t="s">
        <v>6006</v>
      </c>
      <c t="s">
        <v>5097</v>
      </c>
      <c t="s">
        <v>6007</v>
      </c>
    </row>
    <row r="335" spans="1:7" ht="11.25" customHeight="1">
      <c r="A335" s="375" t="s">
        <v>16</v>
      </c>
      <c t="s">
        <v>5998</v>
      </c>
      <c t="s">
        <v>5999</v>
      </c>
      <c t="s">
        <v>6008</v>
      </c>
      <c t="s">
        <v>6009</v>
      </c>
      <c t="s">
        <v>5097</v>
      </c>
      <c t="s">
        <v>6010</v>
      </c>
    </row>
    <row r="336" spans="1:7" ht="11.25" customHeight="1">
      <c r="A336" s="375" t="s">
        <v>16</v>
      </c>
      <c t="s">
        <v>5998</v>
      </c>
      <c t="s">
        <v>5999</v>
      </c>
      <c t="s">
        <v>5998</v>
      </c>
      <c t="s">
        <v>5999</v>
      </c>
      <c t="s">
        <v>5088</v>
      </c>
      <c t="s">
        <v>6011</v>
      </c>
    </row>
    <row r="337" spans="1:7" ht="11.25" customHeight="1">
      <c r="A337" s="375" t="s">
        <v>16</v>
      </c>
      <c t="s">
        <v>5998</v>
      </c>
      <c t="s">
        <v>5999</v>
      </c>
      <c t="s">
        <v>6012</v>
      </c>
      <c t="s">
        <v>6013</v>
      </c>
      <c t="s">
        <v>5097</v>
      </c>
      <c t="s">
        <v>6014</v>
      </c>
    </row>
    <row r="338" spans="1:7" ht="11.25" customHeight="1">
      <c r="A338" s="375" t="s">
        <v>16</v>
      </c>
      <c t="s">
        <v>6015</v>
      </c>
      <c t="s">
        <v>6016</v>
      </c>
      <c t="s">
        <v>6017</v>
      </c>
      <c t="s">
        <v>6018</v>
      </c>
      <c t="s">
        <v>5097</v>
      </c>
      <c t="s">
        <v>6019</v>
      </c>
    </row>
    <row r="339" spans="1:7" ht="11.25" customHeight="1">
      <c r="A339" s="375" t="s">
        <v>16</v>
      </c>
      <c t="s">
        <v>6015</v>
      </c>
      <c t="s">
        <v>6016</v>
      </c>
      <c t="s">
        <v>6020</v>
      </c>
      <c t="s">
        <v>6021</v>
      </c>
      <c t="s">
        <v>5097</v>
      </c>
      <c t="s">
        <v>6022</v>
      </c>
    </row>
    <row r="340" spans="1:7" ht="11.25" customHeight="1">
      <c r="A340" s="375" t="s">
        <v>16</v>
      </c>
      <c t="s">
        <v>6015</v>
      </c>
      <c t="s">
        <v>6016</v>
      </c>
      <c t="s">
        <v>6023</v>
      </c>
      <c t="s">
        <v>6024</v>
      </c>
      <c t="s">
        <v>5097</v>
      </c>
      <c t="s">
        <v>6025</v>
      </c>
    </row>
    <row r="341" spans="1:7" ht="11.25" customHeight="1">
      <c r="A341" s="375" t="s">
        <v>16</v>
      </c>
      <c t="s">
        <v>6015</v>
      </c>
      <c t="s">
        <v>6016</v>
      </c>
      <c t="s">
        <v>6026</v>
      </c>
      <c t="s">
        <v>6027</v>
      </c>
      <c t="s">
        <v>5097</v>
      </c>
      <c t="s">
        <v>6028</v>
      </c>
    </row>
    <row r="342" spans="1:7" ht="11.25" customHeight="1">
      <c r="A342" s="375" t="s">
        <v>16</v>
      </c>
      <c t="s">
        <v>6015</v>
      </c>
      <c t="s">
        <v>6016</v>
      </c>
      <c t="s">
        <v>6029</v>
      </c>
      <c t="s">
        <v>6030</v>
      </c>
      <c t="s">
        <v>5097</v>
      </c>
      <c t="s">
        <v>6031</v>
      </c>
    </row>
    <row r="343" spans="1:7" ht="11.25" customHeight="1">
      <c r="A343" s="375" t="s">
        <v>16</v>
      </c>
      <c t="s">
        <v>6015</v>
      </c>
      <c t="s">
        <v>6016</v>
      </c>
      <c t="s">
        <v>6032</v>
      </c>
      <c t="s">
        <v>6033</v>
      </c>
      <c t="s">
        <v>5097</v>
      </c>
      <c t="s">
        <v>6034</v>
      </c>
    </row>
    <row r="344" spans="1:7" ht="11.25" customHeight="1">
      <c r="A344" s="375" t="s">
        <v>16</v>
      </c>
      <c t="s">
        <v>6015</v>
      </c>
      <c t="s">
        <v>6016</v>
      </c>
      <c t="s">
        <v>6035</v>
      </c>
      <c t="s">
        <v>6036</v>
      </c>
      <c t="s">
        <v>5097</v>
      </c>
      <c t="s">
        <v>6037</v>
      </c>
    </row>
    <row r="345" spans="1:7" ht="11.25" customHeight="1">
      <c r="A345" s="375" t="s">
        <v>16</v>
      </c>
      <c t="s">
        <v>6015</v>
      </c>
      <c t="s">
        <v>6016</v>
      </c>
      <c t="s">
        <v>6015</v>
      </c>
      <c t="s">
        <v>6016</v>
      </c>
      <c t="s">
        <v>5088</v>
      </c>
      <c t="s">
        <v>6038</v>
      </c>
    </row>
    <row r="346" spans="1:7" ht="11.25" customHeight="1">
      <c r="A346" s="375" t="s">
        <v>16</v>
      </c>
      <c t="s">
        <v>6015</v>
      </c>
      <c t="s">
        <v>6016</v>
      </c>
      <c t="s">
        <v>6039</v>
      </c>
      <c t="s">
        <v>6040</v>
      </c>
      <c t="s">
        <v>5097</v>
      </c>
      <c t="s">
        <v>6041</v>
      </c>
    </row>
    <row r="347" spans="1:7" ht="11.25" customHeight="1">
      <c r="A347" s="375" t="s">
        <v>16</v>
      </c>
      <c t="s">
        <v>6042</v>
      </c>
      <c t="s">
        <v>6043</v>
      </c>
      <c t="s">
        <v>6044</v>
      </c>
      <c t="s">
        <v>6045</v>
      </c>
      <c t="s">
        <v>5097</v>
      </c>
      <c t="s">
        <v>6046</v>
      </c>
    </row>
    <row r="348" spans="1:7" ht="11.25" customHeight="1">
      <c r="A348" s="375" t="s">
        <v>16</v>
      </c>
      <c t="s">
        <v>6042</v>
      </c>
      <c t="s">
        <v>6043</v>
      </c>
      <c t="s">
        <v>6047</v>
      </c>
      <c t="s">
        <v>6048</v>
      </c>
      <c t="s">
        <v>5097</v>
      </c>
      <c t="s">
        <v>6049</v>
      </c>
    </row>
    <row r="349" spans="1:7" ht="11.25" customHeight="1">
      <c r="A349" s="375" t="s">
        <v>16</v>
      </c>
      <c t="s">
        <v>6042</v>
      </c>
      <c t="s">
        <v>6043</v>
      </c>
      <c t="s">
        <v>6050</v>
      </c>
      <c t="s">
        <v>6051</v>
      </c>
      <c t="s">
        <v>5097</v>
      </c>
      <c t="s">
        <v>6052</v>
      </c>
    </row>
    <row r="350" spans="1:7" ht="11.25" customHeight="1">
      <c r="A350" s="375" t="s">
        <v>16</v>
      </c>
      <c t="s">
        <v>6042</v>
      </c>
      <c t="s">
        <v>6043</v>
      </c>
      <c t="s">
        <v>6053</v>
      </c>
      <c t="s">
        <v>6054</v>
      </c>
      <c t="s">
        <v>5097</v>
      </c>
      <c t="s">
        <v>6055</v>
      </c>
    </row>
    <row r="351" spans="1:7" ht="11.25" customHeight="1">
      <c r="A351" s="375" t="s">
        <v>16</v>
      </c>
      <c t="s">
        <v>6042</v>
      </c>
      <c t="s">
        <v>6043</v>
      </c>
      <c t="s">
        <v>6056</v>
      </c>
      <c t="s">
        <v>6057</v>
      </c>
      <c t="s">
        <v>5097</v>
      </c>
      <c t="s">
        <v>6058</v>
      </c>
    </row>
    <row r="352" spans="1:7" ht="11.25" customHeight="1">
      <c r="A352" s="375" t="s">
        <v>16</v>
      </c>
      <c t="s">
        <v>6042</v>
      </c>
      <c t="s">
        <v>6043</v>
      </c>
      <c t="s">
        <v>6059</v>
      </c>
      <c t="s">
        <v>6060</v>
      </c>
      <c t="s">
        <v>5097</v>
      </c>
      <c t="s">
        <v>6061</v>
      </c>
    </row>
    <row r="353" spans="1:7" ht="11.25" customHeight="1">
      <c r="A353" s="375" t="s">
        <v>16</v>
      </c>
      <c t="s">
        <v>6042</v>
      </c>
      <c t="s">
        <v>6043</v>
      </c>
      <c t="s">
        <v>6062</v>
      </c>
      <c t="s">
        <v>6063</v>
      </c>
      <c t="s">
        <v>5097</v>
      </c>
      <c t="s">
        <v>6064</v>
      </c>
    </row>
    <row r="354" spans="1:7" ht="11.25" customHeight="1">
      <c r="A354" s="375" t="s">
        <v>16</v>
      </c>
      <c t="s">
        <v>6042</v>
      </c>
      <c t="s">
        <v>6043</v>
      </c>
      <c t="s">
        <v>6065</v>
      </c>
      <c t="s">
        <v>6066</v>
      </c>
      <c t="s">
        <v>5097</v>
      </c>
      <c t="s">
        <v>6067</v>
      </c>
    </row>
    <row r="355" spans="1:7" ht="11.25" customHeight="1">
      <c r="A355" s="375" t="s">
        <v>16</v>
      </c>
      <c t="s">
        <v>6042</v>
      </c>
      <c t="s">
        <v>6043</v>
      </c>
      <c t="s">
        <v>6068</v>
      </c>
      <c t="s">
        <v>6069</v>
      </c>
      <c t="s">
        <v>5097</v>
      </c>
      <c t="s">
        <v>6070</v>
      </c>
    </row>
    <row r="356" spans="1:7" ht="11.25" customHeight="1">
      <c r="A356" s="375" t="s">
        <v>16</v>
      </c>
      <c t="s">
        <v>6042</v>
      </c>
      <c t="s">
        <v>6043</v>
      </c>
      <c t="s">
        <v>6071</v>
      </c>
      <c t="s">
        <v>6072</v>
      </c>
      <c t="s">
        <v>5097</v>
      </c>
      <c t="s">
        <v>6073</v>
      </c>
    </row>
    <row r="357" spans="1:7" ht="11.25" customHeight="1">
      <c r="A357" s="375" t="s">
        <v>16</v>
      </c>
      <c t="s">
        <v>6042</v>
      </c>
      <c t="s">
        <v>6043</v>
      </c>
      <c t="s">
        <v>6042</v>
      </c>
      <c t="s">
        <v>6043</v>
      </c>
      <c t="s">
        <v>5088</v>
      </c>
      <c t="s">
        <v>6074</v>
      </c>
    </row>
    <row r="358" spans="1:7" ht="11.25" customHeight="1">
      <c r="A358" s="375" t="s">
        <v>16</v>
      </c>
      <c t="s">
        <v>6042</v>
      </c>
      <c t="s">
        <v>6043</v>
      </c>
      <c t="s">
        <v>6075</v>
      </c>
      <c t="s">
        <v>6076</v>
      </c>
      <c t="s">
        <v>5091</v>
      </c>
      <c t="s">
        <v>6077</v>
      </c>
    </row>
    <row r="359" spans="1:7" ht="11.25" customHeight="1">
      <c r="A359" s="375" t="s">
        <v>16</v>
      </c>
      <c t="s">
        <v>6042</v>
      </c>
      <c t="s">
        <v>6043</v>
      </c>
      <c t="s">
        <v>6078</v>
      </c>
      <c t="s">
        <v>6079</v>
      </c>
      <c t="s">
        <v>5097</v>
      </c>
      <c t="s">
        <v>6080</v>
      </c>
    </row>
    <row r="360" spans="1:7" ht="11.25" customHeight="1">
      <c r="A360" s="375" t="s">
        <v>16</v>
      </c>
      <c t="s">
        <v>6081</v>
      </c>
      <c t="s">
        <v>6082</v>
      </c>
      <c t="s">
        <v>6083</v>
      </c>
      <c t="s">
        <v>6084</v>
      </c>
      <c t="s">
        <v>5097</v>
      </c>
      <c t="s">
        <v>6085</v>
      </c>
    </row>
    <row r="361" spans="1:7" ht="11.25" customHeight="1">
      <c r="A361" s="375" t="s">
        <v>16</v>
      </c>
      <c t="s">
        <v>6081</v>
      </c>
      <c t="s">
        <v>6082</v>
      </c>
      <c t="s">
        <v>6086</v>
      </c>
      <c t="s">
        <v>6087</v>
      </c>
      <c t="s">
        <v>5097</v>
      </c>
      <c t="s">
        <v>6088</v>
      </c>
    </row>
    <row r="362" spans="1:7" ht="11.25" customHeight="1">
      <c r="A362" s="375" t="s">
        <v>16</v>
      </c>
      <c t="s">
        <v>6081</v>
      </c>
      <c t="s">
        <v>6082</v>
      </c>
      <c t="s">
        <v>6089</v>
      </c>
      <c t="s">
        <v>6090</v>
      </c>
      <c t="s">
        <v>5097</v>
      </c>
      <c t="s">
        <v>6091</v>
      </c>
    </row>
    <row r="363" spans="1:7" ht="11.25" customHeight="1">
      <c r="A363" s="375" t="s">
        <v>16</v>
      </c>
      <c t="s">
        <v>6081</v>
      </c>
      <c t="s">
        <v>6082</v>
      </c>
      <c t="s">
        <v>6092</v>
      </c>
      <c t="s">
        <v>6093</v>
      </c>
      <c t="s">
        <v>5097</v>
      </c>
      <c t="s">
        <v>6094</v>
      </c>
    </row>
    <row r="364" spans="1:7" ht="11.25" customHeight="1">
      <c r="A364" s="375" t="s">
        <v>16</v>
      </c>
      <c t="s">
        <v>6081</v>
      </c>
      <c t="s">
        <v>6082</v>
      </c>
      <c t="s">
        <v>6095</v>
      </c>
      <c t="s">
        <v>6096</v>
      </c>
      <c t="s">
        <v>5097</v>
      </c>
      <c t="s">
        <v>6097</v>
      </c>
    </row>
    <row r="365" spans="1:7" ht="11.25" customHeight="1">
      <c r="A365" s="375" t="s">
        <v>16</v>
      </c>
      <c t="s">
        <v>6081</v>
      </c>
      <c t="s">
        <v>6082</v>
      </c>
      <c t="s">
        <v>6098</v>
      </c>
      <c t="s">
        <v>6099</v>
      </c>
      <c t="s">
        <v>5097</v>
      </c>
      <c t="s">
        <v>6100</v>
      </c>
    </row>
    <row r="366" spans="1:7" ht="11.25" customHeight="1">
      <c r="A366" s="375" t="s">
        <v>16</v>
      </c>
      <c t="s">
        <v>6081</v>
      </c>
      <c t="s">
        <v>6082</v>
      </c>
      <c t="s">
        <v>6101</v>
      </c>
      <c t="s">
        <v>6102</v>
      </c>
      <c t="s">
        <v>5097</v>
      </c>
      <c t="s">
        <v>6103</v>
      </c>
    </row>
    <row r="367" spans="1:7" ht="11.25" customHeight="1">
      <c r="A367" s="375" t="s">
        <v>16</v>
      </c>
      <c t="s">
        <v>6081</v>
      </c>
      <c t="s">
        <v>6082</v>
      </c>
      <c t="s">
        <v>6104</v>
      </c>
      <c t="s">
        <v>6105</v>
      </c>
      <c t="s">
        <v>5097</v>
      </c>
      <c t="s">
        <v>6106</v>
      </c>
    </row>
    <row r="368" spans="1:7" ht="11.25" customHeight="1">
      <c r="A368" s="375" t="s">
        <v>16</v>
      </c>
      <c t="s">
        <v>6081</v>
      </c>
      <c t="s">
        <v>6082</v>
      </c>
      <c t="s">
        <v>6107</v>
      </c>
      <c t="s">
        <v>6108</v>
      </c>
      <c t="s">
        <v>5097</v>
      </c>
      <c t="s">
        <v>6109</v>
      </c>
    </row>
    <row r="369" spans="1:7" ht="11.25" customHeight="1">
      <c r="A369" s="375" t="s">
        <v>16</v>
      </c>
      <c t="s">
        <v>6081</v>
      </c>
      <c t="s">
        <v>6082</v>
      </c>
      <c t="s">
        <v>6081</v>
      </c>
      <c t="s">
        <v>6082</v>
      </c>
      <c t="s">
        <v>5088</v>
      </c>
      <c t="s">
        <v>6110</v>
      </c>
    </row>
    <row r="370" spans="1:7" ht="11.25" customHeight="1">
      <c r="A370" s="375" t="s">
        <v>16</v>
      </c>
      <c t="s">
        <v>6081</v>
      </c>
      <c t="s">
        <v>6082</v>
      </c>
      <c t="s">
        <v>6111</v>
      </c>
      <c t="s">
        <v>6112</v>
      </c>
      <c t="s">
        <v>5091</v>
      </c>
      <c t="s">
        <v>6113</v>
      </c>
    </row>
    <row r="371" spans="1:7" ht="11.25" customHeight="1">
      <c r="A371" s="375" t="s">
        <v>16</v>
      </c>
      <c t="s">
        <v>6114</v>
      </c>
      <c t="s">
        <v>6115</v>
      </c>
      <c t="s">
        <v>6116</v>
      </c>
      <c t="s">
        <v>6117</v>
      </c>
      <c t="s">
        <v>5097</v>
      </c>
      <c t="s">
        <v>6118</v>
      </c>
    </row>
    <row r="372" spans="1:7" ht="11.25" customHeight="1">
      <c r="A372" s="375" t="s">
        <v>16</v>
      </c>
      <c t="s">
        <v>6114</v>
      </c>
      <c t="s">
        <v>6115</v>
      </c>
      <c t="s">
        <v>6119</v>
      </c>
      <c t="s">
        <v>6120</v>
      </c>
      <c t="s">
        <v>5097</v>
      </c>
      <c t="s">
        <v>6121</v>
      </c>
    </row>
    <row r="373" spans="1:7" ht="11.25" customHeight="1">
      <c r="A373" s="375" t="s">
        <v>16</v>
      </c>
      <c t="s">
        <v>6114</v>
      </c>
      <c t="s">
        <v>6115</v>
      </c>
      <c t="s">
        <v>6122</v>
      </c>
      <c t="s">
        <v>6123</v>
      </c>
      <c t="s">
        <v>5097</v>
      </c>
      <c t="s">
        <v>6124</v>
      </c>
    </row>
    <row r="374" spans="1:7" ht="11.25" customHeight="1">
      <c r="A374" s="375" t="s">
        <v>16</v>
      </c>
      <c t="s">
        <v>6114</v>
      </c>
      <c t="s">
        <v>6115</v>
      </c>
      <c t="s">
        <v>6125</v>
      </c>
      <c t="s">
        <v>6126</v>
      </c>
      <c t="s">
        <v>5097</v>
      </c>
      <c t="s">
        <v>6127</v>
      </c>
    </row>
    <row r="375" spans="1:7" ht="11.25" customHeight="1">
      <c r="A375" s="375" t="s">
        <v>16</v>
      </c>
      <c t="s">
        <v>6114</v>
      </c>
      <c t="s">
        <v>6115</v>
      </c>
      <c t="s">
        <v>6128</v>
      </c>
      <c t="s">
        <v>6129</v>
      </c>
      <c t="s">
        <v>5097</v>
      </c>
      <c t="s">
        <v>6130</v>
      </c>
    </row>
    <row r="376" spans="1:7" ht="11.25" customHeight="1">
      <c r="A376" s="375" t="s">
        <v>16</v>
      </c>
      <c t="s">
        <v>6114</v>
      </c>
      <c t="s">
        <v>6115</v>
      </c>
      <c t="s">
        <v>5821</v>
      </c>
      <c t="s">
        <v>6131</v>
      </c>
      <c t="s">
        <v>5097</v>
      </c>
      <c t="s">
        <v>6132</v>
      </c>
    </row>
    <row r="377" spans="1:7" ht="11.25" customHeight="1">
      <c r="A377" s="375" t="s">
        <v>16</v>
      </c>
      <c t="s">
        <v>6114</v>
      </c>
      <c t="s">
        <v>6115</v>
      </c>
      <c t="s">
        <v>6133</v>
      </c>
      <c t="s">
        <v>6134</v>
      </c>
      <c t="s">
        <v>5097</v>
      </c>
      <c t="s">
        <v>6135</v>
      </c>
    </row>
    <row r="378" spans="1:7" ht="11.25" customHeight="1">
      <c r="A378" s="375" t="s">
        <v>16</v>
      </c>
      <c t="s">
        <v>6114</v>
      </c>
      <c t="s">
        <v>6115</v>
      </c>
      <c t="s">
        <v>6136</v>
      </c>
      <c t="s">
        <v>6137</v>
      </c>
      <c t="s">
        <v>5097</v>
      </c>
      <c t="s">
        <v>6138</v>
      </c>
    </row>
    <row r="379" spans="1:7" ht="11.25" customHeight="1">
      <c r="A379" s="375" t="s">
        <v>16</v>
      </c>
      <c t="s">
        <v>6114</v>
      </c>
      <c t="s">
        <v>6115</v>
      </c>
      <c t="s">
        <v>6114</v>
      </c>
      <c t="s">
        <v>6115</v>
      </c>
      <c t="s">
        <v>5088</v>
      </c>
      <c t="s">
        <v>6139</v>
      </c>
    </row>
    <row r="380" spans="1:7" ht="11.25" customHeight="1">
      <c r="A380" s="375" t="s">
        <v>16</v>
      </c>
      <c t="s">
        <v>6114</v>
      </c>
      <c t="s">
        <v>6115</v>
      </c>
      <c t="s">
        <v>6140</v>
      </c>
      <c t="s">
        <v>6141</v>
      </c>
      <c t="s">
        <v>5091</v>
      </c>
      <c t="s">
        <v>6142</v>
      </c>
    </row>
    <row r="381" spans="1:7" ht="11.25" customHeight="1">
      <c r="A381" s="375" t="s">
        <v>16</v>
      </c>
      <c t="s">
        <v>6114</v>
      </c>
      <c t="s">
        <v>6115</v>
      </c>
      <c t="s">
        <v>6143</v>
      </c>
      <c t="s">
        <v>6144</v>
      </c>
      <c t="s">
        <v>5097</v>
      </c>
      <c t="s">
        <v>6145</v>
      </c>
    </row>
    <row r="382" spans="1:7" ht="11.25" customHeight="1">
      <c r="A382" s="375" t="s">
        <v>16</v>
      </c>
      <c t="s">
        <v>6114</v>
      </c>
      <c t="s">
        <v>6115</v>
      </c>
      <c t="s">
        <v>6146</v>
      </c>
      <c t="s">
        <v>6147</v>
      </c>
      <c t="s">
        <v>5097</v>
      </c>
      <c t="s">
        <v>6148</v>
      </c>
    </row>
    <row r="383" spans="1:7" ht="11.25" customHeight="1">
      <c r="A383" s="375" t="s">
        <v>16</v>
      </c>
      <c t="s">
        <v>6114</v>
      </c>
      <c t="s">
        <v>6115</v>
      </c>
      <c t="s">
        <v>6149</v>
      </c>
      <c t="s">
        <v>6150</v>
      </c>
      <c t="s">
        <v>5097</v>
      </c>
      <c t="s">
        <v>6151</v>
      </c>
    </row>
    <row r="384" spans="1:7" ht="11.25" customHeight="1">
      <c r="A384" s="375" t="s">
        <v>16</v>
      </c>
      <c t="s">
        <v>6152</v>
      </c>
      <c t="s">
        <v>6153</v>
      </c>
      <c t="s">
        <v>6152</v>
      </c>
      <c t="s">
        <v>6153</v>
      </c>
      <c t="s">
        <v>5657</v>
      </c>
      <c t="s">
        <v>6154</v>
      </c>
    </row>
    <row r="385" spans="1:7" ht="11.25" customHeight="1">
      <c r="A385" s="375" t="s">
        <v>16</v>
      </c>
      <c t="s">
        <v>6155</v>
      </c>
      <c t="s">
        <v>6156</v>
      </c>
      <c t="s">
        <v>6157</v>
      </c>
      <c t="s">
        <v>6158</v>
      </c>
      <c t="s">
        <v>5097</v>
      </c>
      <c t="s">
        <v>6159</v>
      </c>
    </row>
    <row r="386" spans="1:7" ht="11.25" customHeight="1">
      <c r="A386" s="375" t="s">
        <v>16</v>
      </c>
      <c t="s">
        <v>6155</v>
      </c>
      <c t="s">
        <v>6156</v>
      </c>
      <c t="s">
        <v>6160</v>
      </c>
      <c t="s">
        <v>6161</v>
      </c>
      <c t="s">
        <v>5097</v>
      </c>
      <c t="s">
        <v>6162</v>
      </c>
    </row>
    <row r="387" spans="1:7" ht="11.25" customHeight="1">
      <c r="A387" s="375" t="s">
        <v>16</v>
      </c>
      <c t="s">
        <v>6155</v>
      </c>
      <c t="s">
        <v>6156</v>
      </c>
      <c t="s">
        <v>6163</v>
      </c>
      <c t="s">
        <v>6164</v>
      </c>
      <c t="s">
        <v>5094</v>
      </c>
      <c t="s">
        <v>6165</v>
      </c>
    </row>
    <row r="388" spans="1:7" ht="11.25" customHeight="1">
      <c r="A388" s="375" t="s">
        <v>16</v>
      </c>
      <c t="s">
        <v>6155</v>
      </c>
      <c t="s">
        <v>6156</v>
      </c>
      <c t="s">
        <v>6166</v>
      </c>
      <c t="s">
        <v>6167</v>
      </c>
      <c t="s">
        <v>5097</v>
      </c>
      <c t="s">
        <v>6168</v>
      </c>
    </row>
    <row r="389" spans="1:7" ht="11.25" customHeight="1">
      <c r="A389" s="375" t="s">
        <v>16</v>
      </c>
      <c t="s">
        <v>6155</v>
      </c>
      <c t="s">
        <v>6156</v>
      </c>
      <c t="s">
        <v>6169</v>
      </c>
      <c t="s">
        <v>6170</v>
      </c>
      <c t="s">
        <v>5094</v>
      </c>
      <c t="s">
        <v>6171</v>
      </c>
    </row>
    <row r="390" spans="1:7" ht="11.25" customHeight="1">
      <c r="A390" s="375" t="s">
        <v>16</v>
      </c>
      <c t="s">
        <v>6155</v>
      </c>
      <c t="s">
        <v>6156</v>
      </c>
      <c t="s">
        <v>5469</v>
      </c>
      <c t="s">
        <v>6172</v>
      </c>
      <c t="s">
        <v>5097</v>
      </c>
      <c t="s">
        <v>6173</v>
      </c>
    </row>
    <row r="391" spans="1:7" ht="11.25" customHeight="1">
      <c r="A391" s="375" t="s">
        <v>16</v>
      </c>
      <c t="s">
        <v>6155</v>
      </c>
      <c t="s">
        <v>6156</v>
      </c>
      <c t="s">
        <v>6174</v>
      </c>
      <c t="s">
        <v>6175</v>
      </c>
      <c t="s">
        <v>5097</v>
      </c>
      <c t="s">
        <v>6176</v>
      </c>
    </row>
    <row r="392" spans="1:7" ht="11.25" customHeight="1">
      <c r="A392" s="375" t="s">
        <v>16</v>
      </c>
      <c t="s">
        <v>6155</v>
      </c>
      <c t="s">
        <v>6156</v>
      </c>
      <c t="s">
        <v>6155</v>
      </c>
      <c t="s">
        <v>6156</v>
      </c>
      <c t="s">
        <v>5088</v>
      </c>
      <c t="s">
        <v>6177</v>
      </c>
    </row>
    <row r="393" spans="1:7" ht="11.25" customHeight="1">
      <c r="A393" s="375" t="s">
        <v>16</v>
      </c>
      <c t="s">
        <v>6155</v>
      </c>
      <c t="s">
        <v>6156</v>
      </c>
      <c t="s">
        <v>6178</v>
      </c>
      <c t="s">
        <v>6179</v>
      </c>
      <c t="s">
        <v>5091</v>
      </c>
      <c t="s">
        <v>6180</v>
      </c>
    </row>
    <row r="394" spans="1:7" ht="11.25" customHeight="1">
      <c r="A394" s="375" t="s">
        <v>16</v>
      </c>
      <c t="s">
        <v>6155</v>
      </c>
      <c t="s">
        <v>6156</v>
      </c>
      <c t="s">
        <v>6181</v>
      </c>
      <c t="s">
        <v>6182</v>
      </c>
      <c t="s">
        <v>5097</v>
      </c>
      <c t="s">
        <v>6183</v>
      </c>
    </row>
    <row r="395" spans="1:7" ht="11.25" customHeight="1">
      <c r="A395" s="375" t="s">
        <v>16</v>
      </c>
      <c t="s">
        <v>6155</v>
      </c>
      <c t="s">
        <v>6156</v>
      </c>
      <c t="s">
        <v>6184</v>
      </c>
      <c t="s">
        <v>6185</v>
      </c>
      <c t="s">
        <v>5097</v>
      </c>
      <c t="s">
        <v>6186</v>
      </c>
    </row>
    <row r="396" spans="1:7" ht="11.25" customHeight="1">
      <c r="A396" s="375" t="s">
        <v>16</v>
      </c>
      <c t="s">
        <v>6187</v>
      </c>
      <c t="s">
        <v>6188</v>
      </c>
      <c t="s">
        <v>5850</v>
      </c>
      <c t="s">
        <v>6189</v>
      </c>
      <c t="s">
        <v>5097</v>
      </c>
      <c t="s">
        <v>6190</v>
      </c>
    </row>
    <row r="397" spans="1:7" ht="11.25" customHeight="1">
      <c r="A397" s="375" t="s">
        <v>16</v>
      </c>
      <c t="s">
        <v>6187</v>
      </c>
      <c t="s">
        <v>6188</v>
      </c>
      <c t="s">
        <v>6191</v>
      </c>
      <c t="s">
        <v>6192</v>
      </c>
      <c t="s">
        <v>5097</v>
      </c>
      <c t="s">
        <v>6193</v>
      </c>
    </row>
    <row r="398" spans="1:7" ht="11.25" customHeight="1">
      <c r="A398" s="375" t="s">
        <v>16</v>
      </c>
      <c t="s">
        <v>6187</v>
      </c>
      <c t="s">
        <v>6188</v>
      </c>
      <c t="s">
        <v>6194</v>
      </c>
      <c t="s">
        <v>6195</v>
      </c>
      <c t="s">
        <v>5097</v>
      </c>
      <c t="s">
        <v>6196</v>
      </c>
    </row>
    <row r="399" spans="1:7" ht="11.25" customHeight="1">
      <c r="A399" s="375" t="s">
        <v>16</v>
      </c>
      <c t="s">
        <v>6187</v>
      </c>
      <c t="s">
        <v>6188</v>
      </c>
      <c t="s">
        <v>6197</v>
      </c>
      <c t="s">
        <v>6198</v>
      </c>
      <c t="s">
        <v>5097</v>
      </c>
      <c t="s">
        <v>6199</v>
      </c>
    </row>
    <row r="400" spans="1:7" ht="11.25" customHeight="1">
      <c r="A400" s="375" t="s">
        <v>16</v>
      </c>
      <c t="s">
        <v>6187</v>
      </c>
      <c t="s">
        <v>6188</v>
      </c>
      <c t="s">
        <v>6200</v>
      </c>
      <c t="s">
        <v>6201</v>
      </c>
      <c t="s">
        <v>5097</v>
      </c>
      <c t="s">
        <v>6202</v>
      </c>
    </row>
    <row r="401" spans="1:7" ht="11.25" customHeight="1">
      <c r="A401" s="375" t="s">
        <v>16</v>
      </c>
      <c t="s">
        <v>6187</v>
      </c>
      <c t="s">
        <v>6188</v>
      </c>
      <c t="s">
        <v>6203</v>
      </c>
      <c t="s">
        <v>6204</v>
      </c>
      <c t="s">
        <v>5097</v>
      </c>
      <c t="s">
        <v>6205</v>
      </c>
    </row>
    <row r="402" spans="1:7" ht="11.25" customHeight="1">
      <c r="A402" s="375" t="s">
        <v>16</v>
      </c>
      <c t="s">
        <v>6187</v>
      </c>
      <c t="s">
        <v>6188</v>
      </c>
      <c t="s">
        <v>6206</v>
      </c>
      <c t="s">
        <v>6207</v>
      </c>
      <c t="s">
        <v>5097</v>
      </c>
      <c t="s">
        <v>6208</v>
      </c>
    </row>
    <row r="403" spans="1:7" ht="11.25" customHeight="1">
      <c r="A403" s="375" t="s">
        <v>16</v>
      </c>
      <c t="s">
        <v>6187</v>
      </c>
      <c t="s">
        <v>6188</v>
      </c>
      <c t="s">
        <v>6209</v>
      </c>
      <c t="s">
        <v>6210</v>
      </c>
      <c t="s">
        <v>5097</v>
      </c>
      <c t="s">
        <v>6211</v>
      </c>
    </row>
    <row r="404" spans="1:7" ht="11.25" customHeight="1">
      <c r="A404" s="375" t="s">
        <v>16</v>
      </c>
      <c t="s">
        <v>6187</v>
      </c>
      <c t="s">
        <v>6188</v>
      </c>
      <c t="s">
        <v>6212</v>
      </c>
      <c t="s">
        <v>6213</v>
      </c>
      <c t="s">
        <v>5097</v>
      </c>
      <c t="s">
        <v>6214</v>
      </c>
    </row>
    <row r="405" spans="1:7" ht="11.25" customHeight="1">
      <c r="A405" s="375" t="s">
        <v>16</v>
      </c>
      <c t="s">
        <v>6187</v>
      </c>
      <c t="s">
        <v>6188</v>
      </c>
      <c t="s">
        <v>6187</v>
      </c>
      <c t="s">
        <v>6188</v>
      </c>
      <c t="s">
        <v>5088</v>
      </c>
      <c t="s">
        <v>6215</v>
      </c>
    </row>
    <row r="406" spans="1:7" ht="11.25" customHeight="1">
      <c r="A406" s="375" t="s">
        <v>16</v>
      </c>
      <c t="s">
        <v>6187</v>
      </c>
      <c t="s">
        <v>6188</v>
      </c>
      <c t="s">
        <v>5140</v>
      </c>
      <c t="s">
        <v>6216</v>
      </c>
      <c t="s">
        <v>5097</v>
      </c>
      <c t="s">
        <v>6217</v>
      </c>
    </row>
    <row r="407" spans="1:7" ht="11.25" customHeight="1">
      <c r="A407" s="375" t="s">
        <v>16</v>
      </c>
      <c t="s">
        <v>6218</v>
      </c>
      <c t="s">
        <v>6219</v>
      </c>
      <c t="s">
        <v>5306</v>
      </c>
      <c t="s">
        <v>6220</v>
      </c>
      <c t="s">
        <v>5097</v>
      </c>
      <c t="s">
        <v>6221</v>
      </c>
    </row>
    <row r="408" spans="1:7" ht="11.25" customHeight="1">
      <c r="A408" s="375" t="s">
        <v>16</v>
      </c>
      <c t="s">
        <v>6218</v>
      </c>
      <c t="s">
        <v>6219</v>
      </c>
      <c t="s">
        <v>6122</v>
      </c>
      <c t="s">
        <v>6222</v>
      </c>
      <c t="s">
        <v>5097</v>
      </c>
      <c t="s">
        <v>6223</v>
      </c>
    </row>
    <row r="409" spans="1:7" ht="11.25" customHeight="1">
      <c r="A409" s="375" t="s">
        <v>16</v>
      </c>
      <c t="s">
        <v>6218</v>
      </c>
      <c t="s">
        <v>6219</v>
      </c>
      <c t="s">
        <v>6224</v>
      </c>
      <c t="s">
        <v>6225</v>
      </c>
      <c t="s">
        <v>5097</v>
      </c>
      <c t="s">
        <v>6226</v>
      </c>
    </row>
    <row r="410" spans="1:7" ht="11.25" customHeight="1">
      <c r="A410" s="375" t="s">
        <v>16</v>
      </c>
      <c t="s">
        <v>6218</v>
      </c>
      <c t="s">
        <v>6219</v>
      </c>
      <c t="s">
        <v>6227</v>
      </c>
      <c t="s">
        <v>6228</v>
      </c>
      <c t="s">
        <v>5097</v>
      </c>
      <c t="s">
        <v>6229</v>
      </c>
    </row>
    <row r="411" spans="1:7" ht="11.25" customHeight="1">
      <c r="A411" s="375" t="s">
        <v>16</v>
      </c>
      <c t="s">
        <v>6218</v>
      </c>
      <c t="s">
        <v>6219</v>
      </c>
      <c t="s">
        <v>5664</v>
      </c>
      <c t="s">
        <v>6230</v>
      </c>
      <c t="s">
        <v>5097</v>
      </c>
      <c t="s">
        <v>6231</v>
      </c>
    </row>
    <row r="412" spans="1:7" ht="11.25" customHeight="1">
      <c r="A412" s="375" t="s">
        <v>16</v>
      </c>
      <c t="s">
        <v>6218</v>
      </c>
      <c t="s">
        <v>6219</v>
      </c>
      <c t="s">
        <v>6232</v>
      </c>
      <c t="s">
        <v>6233</v>
      </c>
      <c t="s">
        <v>5097</v>
      </c>
      <c t="s">
        <v>6234</v>
      </c>
    </row>
    <row r="413" spans="1:7" ht="11.25" customHeight="1">
      <c r="A413" s="375" t="s">
        <v>16</v>
      </c>
      <c t="s">
        <v>6218</v>
      </c>
      <c t="s">
        <v>6219</v>
      </c>
      <c t="s">
        <v>6235</v>
      </c>
      <c t="s">
        <v>6236</v>
      </c>
      <c t="s">
        <v>5097</v>
      </c>
      <c t="s">
        <v>6237</v>
      </c>
    </row>
    <row r="414" spans="1:7" ht="11.25" customHeight="1">
      <c r="A414" s="375" t="s">
        <v>16</v>
      </c>
      <c t="s">
        <v>6218</v>
      </c>
      <c t="s">
        <v>6219</v>
      </c>
      <c t="s">
        <v>6238</v>
      </c>
      <c t="s">
        <v>6239</v>
      </c>
      <c t="s">
        <v>5097</v>
      </c>
      <c t="s">
        <v>6240</v>
      </c>
    </row>
    <row r="415" spans="1:7" ht="11.25" customHeight="1">
      <c r="A415" s="375" t="s">
        <v>16</v>
      </c>
      <c t="s">
        <v>6218</v>
      </c>
      <c t="s">
        <v>6219</v>
      </c>
      <c t="s">
        <v>6241</v>
      </c>
      <c t="s">
        <v>6242</v>
      </c>
      <c t="s">
        <v>5097</v>
      </c>
      <c t="s">
        <v>6243</v>
      </c>
    </row>
    <row r="416" spans="1:7" ht="11.25" customHeight="1">
      <c r="A416" s="375" t="s">
        <v>16</v>
      </c>
      <c t="s">
        <v>6218</v>
      </c>
      <c t="s">
        <v>6219</v>
      </c>
      <c t="s">
        <v>6244</v>
      </c>
      <c t="s">
        <v>6245</v>
      </c>
      <c t="s">
        <v>5097</v>
      </c>
      <c t="s">
        <v>6246</v>
      </c>
    </row>
    <row r="417" spans="1:7" ht="11.25" customHeight="1">
      <c r="A417" s="375" t="s">
        <v>16</v>
      </c>
      <c t="s">
        <v>6218</v>
      </c>
      <c t="s">
        <v>6219</v>
      </c>
      <c t="s">
        <v>6247</v>
      </c>
      <c t="s">
        <v>6248</v>
      </c>
      <c t="s">
        <v>5097</v>
      </c>
      <c t="s">
        <v>6249</v>
      </c>
    </row>
    <row r="418" spans="1:7" ht="11.25" customHeight="1">
      <c r="A418" s="375" t="s">
        <v>16</v>
      </c>
      <c t="s">
        <v>6218</v>
      </c>
      <c t="s">
        <v>6219</v>
      </c>
      <c t="s">
        <v>6250</v>
      </c>
      <c t="s">
        <v>6251</v>
      </c>
      <c t="s">
        <v>5097</v>
      </c>
      <c t="s">
        <v>6252</v>
      </c>
    </row>
    <row r="419" spans="1:7" ht="11.25" customHeight="1">
      <c r="A419" s="375" t="s">
        <v>16</v>
      </c>
      <c t="s">
        <v>6218</v>
      </c>
      <c t="s">
        <v>6219</v>
      </c>
      <c t="s">
        <v>6253</v>
      </c>
      <c t="s">
        <v>6254</v>
      </c>
      <c t="s">
        <v>5097</v>
      </c>
      <c t="s">
        <v>6255</v>
      </c>
    </row>
    <row r="420" spans="1:7" ht="11.25" customHeight="1">
      <c r="A420" s="375" t="s">
        <v>16</v>
      </c>
      <c t="s">
        <v>6218</v>
      </c>
      <c t="s">
        <v>6219</v>
      </c>
      <c t="s">
        <v>6174</v>
      </c>
      <c t="s">
        <v>6256</v>
      </c>
      <c t="s">
        <v>5097</v>
      </c>
      <c t="s">
        <v>6257</v>
      </c>
    </row>
    <row r="421" spans="1:7" ht="11.25" customHeight="1">
      <c r="A421" s="375" t="s">
        <v>16</v>
      </c>
      <c t="s">
        <v>6218</v>
      </c>
      <c t="s">
        <v>6219</v>
      </c>
      <c t="s">
        <v>6218</v>
      </c>
      <c t="s">
        <v>6219</v>
      </c>
      <c t="s">
        <v>5088</v>
      </c>
      <c t="s">
        <v>6258</v>
      </c>
    </row>
    <row r="422" spans="1:7" ht="11.25" customHeight="1">
      <c r="A422" s="375" t="s">
        <v>16</v>
      </c>
      <c t="s">
        <v>6218</v>
      </c>
      <c t="s">
        <v>6219</v>
      </c>
      <c t="s">
        <v>6259</v>
      </c>
      <c t="s">
        <v>6260</v>
      </c>
      <c t="s">
        <v>5091</v>
      </c>
      <c t="s">
        <v>6261</v>
      </c>
    </row>
    <row r="423" spans="1:7" ht="11.25" customHeight="1">
      <c r="A423" s="375" t="s">
        <v>16</v>
      </c>
      <c t="s">
        <v>6262</v>
      </c>
      <c t="s">
        <v>6263</v>
      </c>
      <c t="s">
        <v>6264</v>
      </c>
      <c t="s">
        <v>6265</v>
      </c>
      <c t="s">
        <v>5097</v>
      </c>
      <c t="s">
        <v>6266</v>
      </c>
    </row>
    <row r="424" spans="1:7" ht="11.25" customHeight="1">
      <c r="A424" s="375" t="s">
        <v>16</v>
      </c>
      <c t="s">
        <v>6262</v>
      </c>
      <c t="s">
        <v>6263</v>
      </c>
      <c t="s">
        <v>6267</v>
      </c>
      <c t="s">
        <v>6268</v>
      </c>
      <c t="s">
        <v>5097</v>
      </c>
      <c t="s">
        <v>6269</v>
      </c>
    </row>
    <row r="425" spans="1:7" ht="11.25" customHeight="1">
      <c r="A425" s="375" t="s">
        <v>16</v>
      </c>
      <c t="s">
        <v>6262</v>
      </c>
      <c t="s">
        <v>6263</v>
      </c>
      <c t="s">
        <v>6270</v>
      </c>
      <c t="s">
        <v>6271</v>
      </c>
      <c t="s">
        <v>5097</v>
      </c>
      <c t="s">
        <v>6272</v>
      </c>
    </row>
    <row r="426" spans="1:7" ht="11.25" customHeight="1">
      <c r="A426" s="375" t="s">
        <v>16</v>
      </c>
      <c t="s">
        <v>6262</v>
      </c>
      <c t="s">
        <v>6263</v>
      </c>
      <c t="s">
        <v>6203</v>
      </c>
      <c t="s">
        <v>6273</v>
      </c>
      <c t="s">
        <v>5097</v>
      </c>
      <c t="s">
        <v>6274</v>
      </c>
    </row>
    <row r="427" spans="1:7" ht="11.25" customHeight="1">
      <c r="A427" s="375" t="s">
        <v>16</v>
      </c>
      <c t="s">
        <v>6262</v>
      </c>
      <c t="s">
        <v>6263</v>
      </c>
      <c t="s">
        <v>6275</v>
      </c>
      <c t="s">
        <v>6276</v>
      </c>
      <c t="s">
        <v>5097</v>
      </c>
      <c t="s">
        <v>6277</v>
      </c>
    </row>
    <row r="428" spans="1:7" ht="11.25" customHeight="1">
      <c r="A428" s="375" t="s">
        <v>16</v>
      </c>
      <c t="s">
        <v>6262</v>
      </c>
      <c t="s">
        <v>6263</v>
      </c>
      <c t="s">
        <v>6278</v>
      </c>
      <c t="s">
        <v>6279</v>
      </c>
      <c t="s">
        <v>5097</v>
      </c>
      <c t="s">
        <v>6280</v>
      </c>
    </row>
    <row r="429" spans="1:7" ht="11.25" customHeight="1">
      <c r="A429" s="375" t="s">
        <v>16</v>
      </c>
      <c t="s">
        <v>6262</v>
      </c>
      <c t="s">
        <v>6263</v>
      </c>
      <c t="s">
        <v>6281</v>
      </c>
      <c t="s">
        <v>6282</v>
      </c>
      <c t="s">
        <v>5097</v>
      </c>
      <c t="s">
        <v>6283</v>
      </c>
    </row>
    <row r="430" spans="1:7" ht="11.25" customHeight="1">
      <c r="A430" s="375" t="s">
        <v>16</v>
      </c>
      <c t="s">
        <v>6262</v>
      </c>
      <c t="s">
        <v>6263</v>
      </c>
      <c t="s">
        <v>6262</v>
      </c>
      <c t="s">
        <v>6263</v>
      </c>
      <c t="s">
        <v>5088</v>
      </c>
      <c t="s">
        <v>6284</v>
      </c>
    </row>
    <row r="431" spans="1:7" ht="11.25" customHeight="1">
      <c r="A431" s="375" t="s">
        <v>16</v>
      </c>
      <c t="s">
        <v>6262</v>
      </c>
      <c t="s">
        <v>6263</v>
      </c>
      <c t="s">
        <v>6285</v>
      </c>
      <c t="s">
        <v>6286</v>
      </c>
      <c t="s">
        <v>5097</v>
      </c>
      <c t="s">
        <v>6287</v>
      </c>
    </row>
    <row r="432" spans="1:7" ht="11.25" customHeight="1">
      <c r="A432" s="375" t="s">
        <v>16</v>
      </c>
      <c t="s">
        <v>6288</v>
      </c>
      <c t="s">
        <v>6289</v>
      </c>
      <c t="s">
        <v>6288</v>
      </c>
      <c t="s">
        <v>6289</v>
      </c>
      <c t="s">
        <v>5209</v>
      </c>
      <c t="s">
        <v>6290</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EE9B6A7-9D7A-4FC5-BFD9-0.A158EECD}" mc:Ignorable="x14ac xr xr2 xr3">
  <sheetPr>
    <tabColor rgb="FFFFCC99"/>
  </sheetPr>
  <dimension ref="A1:I6"/>
  <sheetViews>
    <sheetView showGridLines="0" workbookViewId="0" topLeftCell="A1">
      <selection pane="topLeft" activeCell="A1" sqref="A1"/>
    </sheetView>
  </sheetViews>
  <sheetFormatPr defaultColWidth="9.14428571428571" defaultRowHeight="11.25" customHeight="1"/>
  <cols>
    <col min="1" max="1" width="13.8571428571429" style="1693" customWidth="1"/>
    <col min="2" max="2" width="10.4285714285714" style="1693" customWidth="1"/>
    <col min="3" max="3" width="7.57142857142857" style="1693" customWidth="1"/>
    <col min="4" max="4" width="13.8571428571429" style="1693" customWidth="1"/>
    <col min="5" max="5" width="11.5714285714286" style="1693" customWidth="1"/>
    <col min="6" max="6" width="16.2857142857143" style="1693" customWidth="1"/>
    <col min="7" max="7" width="16" style="1693" customWidth="1"/>
    <col min="8" max="9" width="16.1428571428571" style="1693" customWidth="1"/>
  </cols>
  <sheetData>
    <row r="1" spans="1:9" ht="11.25" customHeight="1">
      <c r="A1" s="837" t="s">
        <v>6291</v>
      </c>
      <c s="837" t="s">
        <v>6292</v>
      </c>
      <c s="1161" t="s">
        <v>6293</v>
      </c>
      <c s="837" t="s">
        <v>6294</v>
      </c>
      <c s="837" t="s">
        <v>6295</v>
      </c>
      <c s="1161" t="s">
        <v>6296</v>
      </c>
      <c s="1161" t="s">
        <v>6297</v>
      </c>
      <c s="1161" t="s">
        <v>6298</v>
      </c>
      <c s="1161" t="s">
        <v>6299</v>
      </c>
    </row>
    <row r="2" spans="1:9" ht="11.25" customHeight="1">
      <c r="A2" s="1693" t="s">
        <v>109</v>
      </c>
      <c s="1693" t="s">
        <v>6300</v>
      </c>
      <c s="1693" t="s">
        <v>22</v>
      </c>
      <c s="1693" t="s">
        <v>6301</v>
      </c>
      <c s="1693" t="s">
        <v>6302</v>
      </c>
      <c s="1693" t="s">
        <v>22</v>
      </c>
      <c s="1693" t="s">
        <v>22</v>
      </c>
      <c s="1693" t="s">
        <v>22</v>
      </c>
      <c s="1693" t="s">
        <v>22</v>
      </c>
    </row>
    <row r="3" spans="1:9" ht="11.25" customHeight="1">
      <c r="A3" s="1693" t="s">
        <v>110</v>
      </c>
      <c s="1693" t="s">
        <v>6303</v>
      </c>
      <c s="1693" t="s">
        <v>22</v>
      </c>
      <c s="1693" t="s">
        <v>6304</v>
      </c>
      <c s="1693" t="s">
        <v>6305</v>
      </c>
      <c s="1693" t="s">
        <v>22</v>
      </c>
      <c s="1693" t="s">
        <v>22</v>
      </c>
      <c s="1693" t="s">
        <v>22</v>
      </c>
      <c s="1693" t="s">
        <v>22</v>
      </c>
    </row>
    <row r="4" spans="1:9" ht="11.25" customHeight="1">
      <c r="A4" s="1693" t="s">
        <v>89</v>
      </c>
      <c s="1693" t="s">
        <v>6306</v>
      </c>
      <c s="1693" t="s">
        <v>22</v>
      </c>
      <c s="1693" t="s">
        <v>6307</v>
      </c>
      <c s="1693" t="s">
        <v>6308</v>
      </c>
      <c s="1693" t="s">
        <v>22</v>
      </c>
      <c s="1693" t="s">
        <v>22</v>
      </c>
      <c s="1693" t="s">
        <v>22</v>
      </c>
      <c s="1693" t="s">
        <v>22</v>
      </c>
    </row>
    <row r="5" spans="1:9" ht="11.25" customHeight="1">
      <c r="A5" s="1693" t="s">
        <v>90</v>
      </c>
      <c s="1693" t="s">
        <v>6309</v>
      </c>
      <c s="1693" t="s">
        <v>22</v>
      </c>
      <c s="1693" t="s">
        <v>6301</v>
      </c>
      <c s="1693" t="s">
        <v>6310</v>
      </c>
      <c s="1693" t="s">
        <v>22</v>
      </c>
      <c s="1693" t="s">
        <v>22</v>
      </c>
      <c s="1693" t="s">
        <v>22</v>
      </c>
      <c s="1693" t="s">
        <v>22</v>
      </c>
    </row>
    <row r="6" spans="1:9" ht="11.25" customHeight="1">
      <c r="A6" s="1693" t="s">
        <v>111</v>
      </c>
      <c s="1693" t="s">
        <v>6311</v>
      </c>
      <c s="1693" t="s">
        <v>22</v>
      </c>
      <c s="1693" t="s">
        <v>6312</v>
      </c>
      <c s="1693" t="s">
        <v>6305</v>
      </c>
      <c s="1693" t="s">
        <v>22</v>
      </c>
      <c s="1693" t="s">
        <v>22</v>
      </c>
      <c s="1693" t="s">
        <v>22</v>
      </c>
      <c s="1693"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C510893-C8AB-4B9C-AB66-0.A5CD4E25}"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3D0ECE9-1EBF-9DEF-9068-0.6F24DC99}" mc:Ignorable="x14ac xr xr2 xr3">
  <sheetPr>
    <tabColor rgb="FFFFCC99"/>
  </sheetPr>
  <dimension ref="A1:B2"/>
  <sheetViews>
    <sheetView showGridLines="0" workbookViewId="0" topLeftCell="A1">
      <selection pane="topLeft" activeCell="A1" sqref="A1"/>
    </sheetView>
  </sheetViews>
  <sheetFormatPr defaultColWidth="9.14428571428571" defaultRowHeight="11.25" customHeight="1"/>
  <cols>
    <col min="1" max="2" width="9.14285714285714" style="185"/>
  </cols>
  <sheetData>
    <row r="1" spans="1:2" ht="11.25" customHeight="1">
      <c r="A1" s="185" t="s">
        <v>132</v>
      </c>
      <c s="185" t="s">
        <v>6313</v>
      </c>
    </row>
    <row r="2" spans="1:2" ht="11.25" customHeight="1">
      <c r="A2" s="185" t="s">
        <v>97</v>
      </c>
      <c s="185" t="s">
        <v>6314</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954E6-F2E7-091B-DE77-0.99FB30FA}"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65.2857142857143" style="1693" customWidth="1"/>
  </cols>
  <sheetData>
    <row r="1" spans="1:2" ht="11.25" customHeight="1">
      <c r="A1" s="837" t="s">
        <v>6315</v>
      </c>
      <c s="837" t="s">
        <v>6316</v>
      </c>
    </row>
    <row r="2" spans="1:2" ht="11.25" customHeight="1">
      <c r="A2" s="837">
        <v>4213775</v>
      </c>
      <c s="837" t="s">
        <v>1220</v>
      </c>
    </row>
    <row r="3" spans="1:2" ht="11.25" customHeight="1">
      <c r="A3" s="837">
        <v>4213784</v>
      </c>
      <c s="837" t="s">
        <v>1254</v>
      </c>
    </row>
    <row r="4" spans="1:2" ht="11.25" customHeight="1">
      <c r="A4" s="837">
        <v>4213781</v>
      </c>
      <c s="837" t="s">
        <v>1247</v>
      </c>
    </row>
    <row r="5" spans="1:2" ht="11.25" customHeight="1">
      <c r="A5" s="837">
        <v>4213776</v>
      </c>
      <c s="837" t="s">
        <v>168</v>
      </c>
    </row>
    <row r="6" spans="1:2" ht="11.25" customHeight="1">
      <c r="A6" s="837">
        <v>4213777</v>
      </c>
      <c s="837" t="s">
        <v>174</v>
      </c>
    </row>
    <row r="7" spans="1:2" ht="11.25" customHeight="1">
      <c r="A7" s="837">
        <v>4213778</v>
      </c>
      <c s="837" t="s">
        <v>180</v>
      </c>
    </row>
    <row r="8" spans="1:2" ht="11.25" customHeight="1">
      <c r="A8" s="837">
        <v>4213780</v>
      </c>
      <c s="837" t="s">
        <v>186</v>
      </c>
    </row>
    <row r="9" spans="1:2" ht="11.25" customHeight="1">
      <c r="A9" s="837">
        <v>4213779</v>
      </c>
      <c s="837" t="s">
        <v>1388</v>
      </c>
    </row>
    <row r="10" spans="1:2" ht="11.25" customHeight="1">
      <c r="A10" s="837">
        <v>4213783</v>
      </c>
      <c s="837" t="s">
        <v>1403</v>
      </c>
    </row>
    <row r="11" spans="1:2" ht="11.25" customHeight="1">
      <c r="A11" s="837">
        <v>4213782</v>
      </c>
      <c s="837"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96B7FCE-BB51-C628-213E-0.94E0CEA6}" mc:Ignorable="x14ac xr xr2 xr3">
  <sheetPr>
    <tabColor rgb="FFFFCC99"/>
  </sheetPr>
  <dimension ref="A1:B4"/>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65.2857142857143" style="1693" customWidth="1"/>
  </cols>
  <sheetData>
    <row r="1" spans="1:2" ht="11.25" customHeight="1">
      <c r="A1" s="837" t="s">
        <v>6315</v>
      </c>
      <c s="837" t="s">
        <v>6317</v>
      </c>
    </row>
    <row r="2" spans="1:2" ht="11.25" customHeight="1">
      <c r="A2" s="837" t="s">
        <v>6318</v>
      </c>
      <c s="837" t="s">
        <v>1504</v>
      </c>
    </row>
    <row r="3" spans="1:2" ht="11.25" customHeight="1">
      <c r="A3" s="837" t="s">
        <v>6319</v>
      </c>
      <c s="837" t="s">
        <v>1513</v>
      </c>
    </row>
    <row r="4" spans="1:2" ht="11.25" customHeight="1">
      <c r="A4" s="837" t="s">
        <v>6320</v>
      </c>
      <c s="837"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3EAD308-01D7-BB02-035D-0.2FE79C17}" mc:Ignorable="x14ac xr xr2 xr3">
  <sheetPr>
    <tabColor rgb="FFFFCC99"/>
  </sheetPr>
  <dimension ref="A1:G432"/>
  <sheetViews>
    <sheetView showGridLines="0" workbookViewId="0" topLeftCell="A1">
      <selection pane="topLeft" activeCell="A1" sqref="A1"/>
    </sheetView>
  </sheetViews>
  <sheetFormatPr defaultRowHeight="11.25" customHeight="1"/>
  <sheetData>
    <row r="1" spans="1:7" ht="11.25" customHeight="1">
      <c r="A1" s="375" t="s">
        <v>5079</v>
      </c>
      <c s="375" t="s">
        <v>5080</v>
      </c>
      <c s="375" t="s">
        <v>5081</v>
      </c>
      <c s="375" t="s">
        <v>5082</v>
      </c>
      <c t="s">
        <v>5083</v>
      </c>
      <c t="s">
        <v>5084</v>
      </c>
      <c t="s">
        <v>5085</v>
      </c>
    </row>
    <row r="2" spans="1:7" ht="11.25" customHeight="1">
      <c r="A2" t="s">
        <v>16</v>
      </c>
      <c t="s">
        <v>5086</v>
      </c>
      <c t="s">
        <v>5087</v>
      </c>
      <c t="s">
        <v>5086</v>
      </c>
      <c t="s">
        <v>5087</v>
      </c>
      <c t="s">
        <v>5088</v>
      </c>
      <c t="s">
        <v>109</v>
      </c>
    </row>
    <row r="3" spans="1:7" ht="11.25" customHeight="1">
      <c r="A3" t="s">
        <v>16</v>
      </c>
      <c t="s">
        <v>5086</v>
      </c>
      <c t="s">
        <v>5087</v>
      </c>
      <c t="s">
        <v>5089</v>
      </c>
      <c t="s">
        <v>5090</v>
      </c>
      <c t="s">
        <v>5091</v>
      </c>
      <c t="s">
        <v>110</v>
      </c>
    </row>
    <row r="4" spans="1:7" ht="11.25" customHeight="1">
      <c r="A4" t="s">
        <v>16</v>
      </c>
      <c t="s">
        <v>5086</v>
      </c>
      <c t="s">
        <v>5087</v>
      </c>
      <c t="s">
        <v>5092</v>
      </c>
      <c t="s">
        <v>5093</v>
      </c>
      <c t="s">
        <v>5094</v>
      </c>
      <c t="s">
        <v>89</v>
      </c>
    </row>
    <row r="5" spans="1:7" ht="11.25" customHeight="1">
      <c r="A5" t="s">
        <v>16</v>
      </c>
      <c t="s">
        <v>5086</v>
      </c>
      <c t="s">
        <v>5087</v>
      </c>
      <c t="s">
        <v>5095</v>
      </c>
      <c t="s">
        <v>5096</v>
      </c>
      <c t="s">
        <v>5097</v>
      </c>
      <c t="s">
        <v>90</v>
      </c>
    </row>
    <row r="6" spans="1:7" ht="11.25" customHeight="1">
      <c r="A6" t="s">
        <v>16</v>
      </c>
      <c t="s">
        <v>5086</v>
      </c>
      <c t="s">
        <v>5087</v>
      </c>
      <c t="s">
        <v>5098</v>
      </c>
      <c t="s">
        <v>5099</v>
      </c>
      <c t="s">
        <v>5097</v>
      </c>
      <c t="s">
        <v>111</v>
      </c>
    </row>
    <row r="7" spans="1:7" ht="11.25" customHeight="1">
      <c r="A7" t="s">
        <v>16</v>
      </c>
      <c t="s">
        <v>5086</v>
      </c>
      <c t="s">
        <v>5087</v>
      </c>
      <c t="s">
        <v>5100</v>
      </c>
      <c t="s">
        <v>5101</v>
      </c>
      <c t="s">
        <v>5097</v>
      </c>
      <c t="s">
        <v>91</v>
      </c>
    </row>
    <row r="8" spans="1:7" ht="11.25" customHeight="1">
      <c r="A8" t="s">
        <v>16</v>
      </c>
      <c t="s">
        <v>5086</v>
      </c>
      <c t="s">
        <v>5087</v>
      </c>
      <c t="s">
        <v>5102</v>
      </c>
      <c t="s">
        <v>5103</v>
      </c>
      <c t="s">
        <v>5097</v>
      </c>
      <c t="s">
        <v>92</v>
      </c>
    </row>
    <row r="9" spans="1:7" ht="11.25" customHeight="1">
      <c r="A9" t="s">
        <v>16</v>
      </c>
      <c t="s">
        <v>5086</v>
      </c>
      <c t="s">
        <v>5087</v>
      </c>
      <c t="s">
        <v>5104</v>
      </c>
      <c t="s">
        <v>5105</v>
      </c>
      <c t="s">
        <v>5097</v>
      </c>
      <c t="s">
        <v>112</v>
      </c>
    </row>
    <row r="10" spans="1:7" ht="11.25" customHeight="1">
      <c r="A10" t="s">
        <v>16</v>
      </c>
      <c t="s">
        <v>5086</v>
      </c>
      <c t="s">
        <v>5087</v>
      </c>
      <c t="s">
        <v>5106</v>
      </c>
      <c t="s">
        <v>5107</v>
      </c>
      <c t="s">
        <v>5097</v>
      </c>
      <c t="s">
        <v>150</v>
      </c>
    </row>
    <row r="11" spans="1:7" ht="11.25" customHeight="1">
      <c r="A11" t="s">
        <v>16</v>
      </c>
      <c t="s">
        <v>5108</v>
      </c>
      <c t="s">
        <v>5109</v>
      </c>
      <c t="s">
        <v>5108</v>
      </c>
      <c t="s">
        <v>5109</v>
      </c>
      <c t="s">
        <v>5088</v>
      </c>
      <c t="s">
        <v>151</v>
      </c>
    </row>
    <row r="12" spans="1:7" ht="11.25" customHeight="1">
      <c r="A12" t="s">
        <v>16</v>
      </c>
      <c t="s">
        <v>5108</v>
      </c>
      <c t="s">
        <v>5109</v>
      </c>
      <c t="s">
        <v>5110</v>
      </c>
      <c t="s">
        <v>5111</v>
      </c>
      <c t="s">
        <v>5091</v>
      </c>
      <c t="s">
        <v>152</v>
      </c>
    </row>
    <row r="13" spans="1:7" ht="11.25" customHeight="1">
      <c r="A13" t="s">
        <v>16</v>
      </c>
      <c t="s">
        <v>5108</v>
      </c>
      <c t="s">
        <v>5109</v>
      </c>
      <c t="s">
        <v>5112</v>
      </c>
      <c t="s">
        <v>5113</v>
      </c>
      <c t="s">
        <v>5097</v>
      </c>
      <c t="s">
        <v>153</v>
      </c>
    </row>
    <row r="14" spans="1:7" ht="11.25" customHeight="1">
      <c r="A14" t="s">
        <v>16</v>
      </c>
      <c t="s">
        <v>5108</v>
      </c>
      <c t="s">
        <v>5109</v>
      </c>
      <c t="s">
        <v>5114</v>
      </c>
      <c t="s">
        <v>5115</v>
      </c>
      <c t="s">
        <v>5097</v>
      </c>
      <c t="s">
        <v>154</v>
      </c>
    </row>
    <row r="15" spans="1:7" ht="11.25" customHeight="1">
      <c r="A15" t="s">
        <v>16</v>
      </c>
      <c t="s">
        <v>5108</v>
      </c>
      <c t="s">
        <v>5109</v>
      </c>
      <c t="s">
        <v>5116</v>
      </c>
      <c t="s">
        <v>5117</v>
      </c>
      <c t="s">
        <v>5097</v>
      </c>
      <c t="s">
        <v>155</v>
      </c>
    </row>
    <row r="16" spans="1:7" ht="11.25" customHeight="1">
      <c r="A16" t="s">
        <v>16</v>
      </c>
      <c t="s">
        <v>5108</v>
      </c>
      <c t="s">
        <v>5109</v>
      </c>
      <c t="s">
        <v>5118</v>
      </c>
      <c t="s">
        <v>5119</v>
      </c>
      <c t="s">
        <v>5097</v>
      </c>
      <c t="s">
        <v>1463</v>
      </c>
    </row>
    <row r="17" spans="1:7" ht="11.25" customHeight="1">
      <c r="A17" t="s">
        <v>16</v>
      </c>
      <c t="s">
        <v>5108</v>
      </c>
      <c t="s">
        <v>5109</v>
      </c>
      <c t="s">
        <v>5120</v>
      </c>
      <c t="s">
        <v>5121</v>
      </c>
      <c t="s">
        <v>5094</v>
      </c>
      <c t="s">
        <v>1469</v>
      </c>
    </row>
    <row r="18" spans="1:7" ht="11.25" customHeight="1">
      <c r="A18" t="s">
        <v>16</v>
      </c>
      <c t="s">
        <v>5108</v>
      </c>
      <c t="s">
        <v>5109</v>
      </c>
      <c t="s">
        <v>5122</v>
      </c>
      <c t="s">
        <v>5123</v>
      </c>
      <c t="s">
        <v>5097</v>
      </c>
      <c t="s">
        <v>1481</v>
      </c>
    </row>
    <row r="19" spans="1:7" ht="11.25" customHeight="1">
      <c r="A19" t="s">
        <v>16</v>
      </c>
      <c t="s">
        <v>5108</v>
      </c>
      <c t="s">
        <v>5109</v>
      </c>
      <c t="s">
        <v>5124</v>
      </c>
      <c t="s">
        <v>5125</v>
      </c>
      <c t="s">
        <v>5097</v>
      </c>
      <c t="s">
        <v>1495</v>
      </c>
    </row>
    <row r="20" spans="1:7" ht="11.25" customHeight="1">
      <c r="A20" t="s">
        <v>16</v>
      </c>
      <c t="s">
        <v>5108</v>
      </c>
      <c t="s">
        <v>5109</v>
      </c>
      <c t="s">
        <v>5126</v>
      </c>
      <c t="s">
        <v>5127</v>
      </c>
      <c t="s">
        <v>5097</v>
      </c>
      <c t="s">
        <v>1507</v>
      </c>
    </row>
    <row r="21" spans="1:7" ht="11.25" customHeight="1">
      <c r="A21" t="s">
        <v>16</v>
      </c>
      <c t="s">
        <v>5108</v>
      </c>
      <c t="s">
        <v>5109</v>
      </c>
      <c t="s">
        <v>5128</v>
      </c>
      <c t="s">
        <v>5129</v>
      </c>
      <c t="s">
        <v>5097</v>
      </c>
      <c t="s">
        <v>1516</v>
      </c>
    </row>
    <row r="22" spans="1:7" ht="11.25" customHeight="1">
      <c r="A22" t="s">
        <v>16</v>
      </c>
      <c t="s">
        <v>5108</v>
      </c>
      <c t="s">
        <v>5109</v>
      </c>
      <c t="s">
        <v>5130</v>
      </c>
      <c t="s">
        <v>5131</v>
      </c>
      <c t="s">
        <v>5091</v>
      </c>
      <c t="s">
        <v>1532</v>
      </c>
    </row>
    <row r="23" spans="1:7" ht="11.25" customHeight="1">
      <c r="A23" t="s">
        <v>16</v>
      </c>
      <c t="s">
        <v>5108</v>
      </c>
      <c t="s">
        <v>5109</v>
      </c>
      <c t="s">
        <v>5132</v>
      </c>
      <c t="s">
        <v>5133</v>
      </c>
      <c t="s">
        <v>5097</v>
      </c>
      <c t="s">
        <v>1539</v>
      </c>
    </row>
    <row r="24" spans="1:7" ht="11.25" customHeight="1">
      <c r="A24" t="s">
        <v>16</v>
      </c>
      <c t="s">
        <v>5134</v>
      </c>
      <c t="s">
        <v>5135</v>
      </c>
      <c t="s">
        <v>5134</v>
      </c>
      <c t="s">
        <v>5135</v>
      </c>
      <c t="s">
        <v>5088</v>
      </c>
      <c t="s">
        <v>1547</v>
      </c>
    </row>
    <row r="25" spans="1:7" ht="11.25" customHeight="1">
      <c r="A25" t="s">
        <v>16</v>
      </c>
      <c t="s">
        <v>5134</v>
      </c>
      <c t="s">
        <v>5135</v>
      </c>
      <c t="s">
        <v>5136</v>
      </c>
      <c t="s">
        <v>5137</v>
      </c>
      <c t="s">
        <v>5097</v>
      </c>
      <c t="s">
        <v>1554</v>
      </c>
    </row>
    <row r="26" spans="1:7" ht="11.25" customHeight="1">
      <c r="A26" t="s">
        <v>16</v>
      </c>
      <c t="s">
        <v>5134</v>
      </c>
      <c t="s">
        <v>5135</v>
      </c>
      <c t="s">
        <v>5138</v>
      </c>
      <c t="s">
        <v>5139</v>
      </c>
      <c t="s">
        <v>5097</v>
      </c>
      <c t="s">
        <v>1558</v>
      </c>
    </row>
    <row r="27" spans="1:7" ht="11.25" customHeight="1">
      <c r="A27" t="s">
        <v>16</v>
      </c>
      <c t="s">
        <v>5134</v>
      </c>
      <c t="s">
        <v>5135</v>
      </c>
      <c t="s">
        <v>5140</v>
      </c>
      <c t="s">
        <v>5141</v>
      </c>
      <c t="s">
        <v>5097</v>
      </c>
      <c t="s">
        <v>1563</v>
      </c>
    </row>
    <row r="28" spans="1:7" ht="11.25" customHeight="1">
      <c r="A28" t="s">
        <v>16</v>
      </c>
      <c t="s">
        <v>5134</v>
      </c>
      <c t="s">
        <v>5135</v>
      </c>
      <c t="s">
        <v>5142</v>
      </c>
      <c t="s">
        <v>5143</v>
      </c>
      <c t="s">
        <v>5097</v>
      </c>
      <c t="s">
        <v>1571</v>
      </c>
    </row>
    <row r="29" spans="1:7" ht="11.25" customHeight="1">
      <c r="A29" t="s">
        <v>16</v>
      </c>
      <c t="s">
        <v>5144</v>
      </c>
      <c t="s">
        <v>5145</v>
      </c>
      <c t="s">
        <v>5144</v>
      </c>
      <c t="s">
        <v>5145</v>
      </c>
      <c t="s">
        <v>5088</v>
      </c>
      <c t="s">
        <v>1572</v>
      </c>
    </row>
    <row r="30" spans="1:7" ht="11.25" customHeight="1">
      <c r="A30" t="s">
        <v>16</v>
      </c>
      <c t="s">
        <v>5144</v>
      </c>
      <c t="s">
        <v>5145</v>
      </c>
      <c t="s">
        <v>5146</v>
      </c>
      <c t="s">
        <v>5147</v>
      </c>
      <c t="s">
        <v>5091</v>
      </c>
      <c t="s">
        <v>1575</v>
      </c>
    </row>
    <row r="31" spans="1:7" ht="11.25" customHeight="1">
      <c r="A31" t="s">
        <v>16</v>
      </c>
      <c t="s">
        <v>5144</v>
      </c>
      <c t="s">
        <v>5145</v>
      </c>
      <c t="s">
        <v>5148</v>
      </c>
      <c t="s">
        <v>5149</v>
      </c>
      <c t="s">
        <v>5097</v>
      </c>
      <c t="s">
        <v>1581</v>
      </c>
    </row>
    <row r="32" spans="1:7" ht="11.25" customHeight="1">
      <c r="A32" t="s">
        <v>16</v>
      </c>
      <c t="s">
        <v>5144</v>
      </c>
      <c t="s">
        <v>5145</v>
      </c>
      <c t="s">
        <v>5150</v>
      </c>
      <c t="s">
        <v>5151</v>
      </c>
      <c t="s">
        <v>5097</v>
      </c>
      <c t="s">
        <v>1583</v>
      </c>
    </row>
    <row r="33" spans="1:7" ht="11.25" customHeight="1">
      <c r="A33" t="s">
        <v>16</v>
      </c>
      <c t="s">
        <v>5144</v>
      </c>
      <c t="s">
        <v>5145</v>
      </c>
      <c t="s">
        <v>5152</v>
      </c>
      <c t="s">
        <v>5153</v>
      </c>
      <c t="s">
        <v>5097</v>
      </c>
      <c t="s">
        <v>1585</v>
      </c>
    </row>
    <row r="34" spans="1:7" ht="11.25" customHeight="1">
      <c r="A34" t="s">
        <v>16</v>
      </c>
      <c t="s">
        <v>5144</v>
      </c>
      <c t="s">
        <v>5145</v>
      </c>
      <c t="s">
        <v>5154</v>
      </c>
      <c t="s">
        <v>5155</v>
      </c>
      <c t="s">
        <v>5097</v>
      </c>
      <c t="s">
        <v>1587</v>
      </c>
    </row>
    <row r="35" spans="1:7" ht="11.25" customHeight="1">
      <c r="A35" t="s">
        <v>16</v>
      </c>
      <c t="s">
        <v>5144</v>
      </c>
      <c t="s">
        <v>5145</v>
      </c>
      <c t="s">
        <v>5156</v>
      </c>
      <c t="s">
        <v>5157</v>
      </c>
      <c t="s">
        <v>5097</v>
      </c>
      <c t="s">
        <v>1592</v>
      </c>
    </row>
    <row r="36" spans="1:7" ht="11.25" customHeight="1">
      <c r="A36" t="s">
        <v>16</v>
      </c>
      <c t="s">
        <v>5144</v>
      </c>
      <c t="s">
        <v>5145</v>
      </c>
      <c t="s">
        <v>5158</v>
      </c>
      <c t="s">
        <v>5159</v>
      </c>
      <c t="s">
        <v>5097</v>
      </c>
      <c t="s">
        <v>1597</v>
      </c>
    </row>
    <row r="37" spans="1:7" ht="11.25" customHeight="1">
      <c r="A37" t="s">
        <v>16</v>
      </c>
      <c t="s">
        <v>5144</v>
      </c>
      <c t="s">
        <v>5145</v>
      </c>
      <c t="s">
        <v>5160</v>
      </c>
      <c t="s">
        <v>5161</v>
      </c>
      <c t="s">
        <v>5097</v>
      </c>
      <c t="s">
        <v>1601</v>
      </c>
    </row>
    <row r="38" spans="1:7" ht="11.25" customHeight="1">
      <c r="A38" t="s">
        <v>16</v>
      </c>
      <c t="s">
        <v>5144</v>
      </c>
      <c t="s">
        <v>5145</v>
      </c>
      <c t="s">
        <v>5132</v>
      </c>
      <c t="s">
        <v>5162</v>
      </c>
      <c t="s">
        <v>5097</v>
      </c>
      <c t="s">
        <v>1609</v>
      </c>
    </row>
    <row r="39" spans="1:7" ht="11.25" customHeight="1">
      <c r="A39" t="s">
        <v>16</v>
      </c>
      <c t="s">
        <v>5144</v>
      </c>
      <c t="s">
        <v>5145</v>
      </c>
      <c t="s">
        <v>5163</v>
      </c>
      <c t="s">
        <v>5164</v>
      </c>
      <c t="s">
        <v>5097</v>
      </c>
      <c t="s">
        <v>1615</v>
      </c>
    </row>
    <row r="40" spans="1:7" ht="11.25" customHeight="1">
      <c r="A40" t="s">
        <v>16</v>
      </c>
      <c t="s">
        <v>5144</v>
      </c>
      <c t="s">
        <v>5145</v>
      </c>
      <c t="s">
        <v>5165</v>
      </c>
      <c t="s">
        <v>5166</v>
      </c>
      <c t="s">
        <v>5097</v>
      </c>
      <c t="s">
        <v>1620</v>
      </c>
    </row>
    <row r="41" spans="1:7" ht="11.25" customHeight="1">
      <c r="A41" t="s">
        <v>16</v>
      </c>
      <c t="s">
        <v>5167</v>
      </c>
      <c t="s">
        <v>5168</v>
      </c>
      <c t="s">
        <v>5169</v>
      </c>
      <c t="s">
        <v>5170</v>
      </c>
      <c t="s">
        <v>5097</v>
      </c>
      <c t="s">
        <v>1624</v>
      </c>
    </row>
    <row r="42" spans="1:7" ht="11.25" customHeight="1">
      <c r="A42" t="s">
        <v>16</v>
      </c>
      <c t="s">
        <v>5167</v>
      </c>
      <c t="s">
        <v>5168</v>
      </c>
      <c t="s">
        <v>5171</v>
      </c>
      <c t="s">
        <v>5172</v>
      </c>
      <c t="s">
        <v>5097</v>
      </c>
      <c t="s">
        <v>1627</v>
      </c>
    </row>
    <row r="43" spans="1:7" ht="11.25" customHeight="1">
      <c r="A43" t="s">
        <v>16</v>
      </c>
      <c t="s">
        <v>5167</v>
      </c>
      <c t="s">
        <v>5168</v>
      </c>
      <c t="s">
        <v>5167</v>
      </c>
      <c t="s">
        <v>5168</v>
      </c>
      <c t="s">
        <v>5088</v>
      </c>
      <c t="s">
        <v>1634</v>
      </c>
    </row>
    <row r="44" spans="1:7" ht="11.25" customHeight="1">
      <c r="A44" t="s">
        <v>16</v>
      </c>
      <c t="s">
        <v>5167</v>
      </c>
      <c t="s">
        <v>5168</v>
      </c>
      <c t="s">
        <v>5173</v>
      </c>
      <c t="s">
        <v>5174</v>
      </c>
      <c t="s">
        <v>5097</v>
      </c>
      <c t="s">
        <v>1643</v>
      </c>
    </row>
    <row r="45" spans="1:7" ht="11.25" customHeight="1">
      <c r="A45" t="s">
        <v>16</v>
      </c>
      <c t="s">
        <v>5167</v>
      </c>
      <c t="s">
        <v>5168</v>
      </c>
      <c t="s">
        <v>5175</v>
      </c>
      <c t="s">
        <v>5176</v>
      </c>
      <c t="s">
        <v>5097</v>
      </c>
      <c t="s">
        <v>1648</v>
      </c>
    </row>
    <row r="46" spans="1:7" ht="11.25" customHeight="1">
      <c r="A46" t="s">
        <v>16</v>
      </c>
      <c t="s">
        <v>5167</v>
      </c>
      <c t="s">
        <v>5168</v>
      </c>
      <c t="s">
        <v>5177</v>
      </c>
      <c t="s">
        <v>5178</v>
      </c>
      <c t="s">
        <v>5097</v>
      </c>
      <c t="s">
        <v>1651</v>
      </c>
    </row>
    <row r="47" spans="1:7" ht="11.25" customHeight="1">
      <c r="A47" t="s">
        <v>16</v>
      </c>
      <c t="s">
        <v>5167</v>
      </c>
      <c t="s">
        <v>5168</v>
      </c>
      <c t="s">
        <v>5179</v>
      </c>
      <c t="s">
        <v>5180</v>
      </c>
      <c t="s">
        <v>5097</v>
      </c>
      <c t="s">
        <v>1657</v>
      </c>
    </row>
    <row r="48" spans="1:7" ht="11.25" customHeight="1">
      <c r="A48" t="s">
        <v>16</v>
      </c>
      <c t="s">
        <v>5167</v>
      </c>
      <c t="s">
        <v>5168</v>
      </c>
      <c t="s">
        <v>5181</v>
      </c>
      <c t="s">
        <v>5182</v>
      </c>
      <c t="s">
        <v>5097</v>
      </c>
      <c t="s">
        <v>1662</v>
      </c>
    </row>
    <row r="49" spans="1:7" ht="11.25" customHeight="1">
      <c r="A49" t="s">
        <v>16</v>
      </c>
      <c t="s">
        <v>5167</v>
      </c>
      <c t="s">
        <v>5168</v>
      </c>
      <c t="s">
        <v>5183</v>
      </c>
      <c t="s">
        <v>5184</v>
      </c>
      <c t="s">
        <v>5097</v>
      </c>
      <c t="s">
        <v>1665</v>
      </c>
    </row>
    <row r="50" spans="1:7" ht="11.25" customHeight="1">
      <c r="A50" t="s">
        <v>16</v>
      </c>
      <c t="s">
        <v>5185</v>
      </c>
      <c t="s">
        <v>5186</v>
      </c>
      <c t="s">
        <v>5187</v>
      </c>
      <c t="s">
        <v>5188</v>
      </c>
      <c t="s">
        <v>5097</v>
      </c>
      <c t="s">
        <v>1669</v>
      </c>
    </row>
    <row r="51" spans="1:7" ht="11.25" customHeight="1">
      <c r="A51" t="s">
        <v>16</v>
      </c>
      <c t="s">
        <v>5185</v>
      </c>
      <c t="s">
        <v>5186</v>
      </c>
      <c t="s">
        <v>5189</v>
      </c>
      <c t="s">
        <v>5190</v>
      </c>
      <c t="s">
        <v>5097</v>
      </c>
      <c t="s">
        <v>1674</v>
      </c>
    </row>
    <row r="52" spans="1:7" ht="11.25" customHeight="1">
      <c r="A52" t="s">
        <v>16</v>
      </c>
      <c t="s">
        <v>5185</v>
      </c>
      <c t="s">
        <v>5186</v>
      </c>
      <c t="s">
        <v>5191</v>
      </c>
      <c t="s">
        <v>5192</v>
      </c>
      <c t="s">
        <v>5097</v>
      </c>
      <c t="s">
        <v>1678</v>
      </c>
    </row>
    <row r="53" spans="1:7" ht="11.25" customHeight="1">
      <c r="A53" t="s">
        <v>16</v>
      </c>
      <c t="s">
        <v>5185</v>
      </c>
      <c t="s">
        <v>5186</v>
      </c>
      <c t="s">
        <v>5193</v>
      </c>
      <c t="s">
        <v>5194</v>
      </c>
      <c t="s">
        <v>5097</v>
      </c>
      <c t="s">
        <v>1680</v>
      </c>
    </row>
    <row r="54" spans="1:7" ht="11.25" customHeight="1">
      <c r="A54" t="s">
        <v>16</v>
      </c>
      <c t="s">
        <v>5185</v>
      </c>
      <c t="s">
        <v>5186</v>
      </c>
      <c t="s">
        <v>5185</v>
      </c>
      <c t="s">
        <v>5186</v>
      </c>
      <c t="s">
        <v>5088</v>
      </c>
      <c t="s">
        <v>1683</v>
      </c>
    </row>
    <row r="55" spans="1:7" ht="11.25" customHeight="1">
      <c r="A55" t="s">
        <v>16</v>
      </c>
      <c t="s">
        <v>5185</v>
      </c>
      <c t="s">
        <v>5186</v>
      </c>
      <c t="s">
        <v>5195</v>
      </c>
      <c t="s">
        <v>5196</v>
      </c>
      <c t="s">
        <v>5097</v>
      </c>
      <c t="s">
        <v>1687</v>
      </c>
    </row>
    <row r="56" spans="1:7" ht="11.25" customHeight="1">
      <c r="A56" t="s">
        <v>16</v>
      </c>
      <c t="s">
        <v>5185</v>
      </c>
      <c t="s">
        <v>5186</v>
      </c>
      <c t="s">
        <v>5197</v>
      </c>
      <c t="s">
        <v>5198</v>
      </c>
      <c t="s">
        <v>5097</v>
      </c>
      <c t="s">
        <v>1690</v>
      </c>
    </row>
    <row r="57" spans="1:7" ht="11.25" customHeight="1">
      <c r="A57" t="s">
        <v>16</v>
      </c>
      <c t="s">
        <v>5185</v>
      </c>
      <c t="s">
        <v>5186</v>
      </c>
      <c t="s">
        <v>5199</v>
      </c>
      <c t="s">
        <v>5200</v>
      </c>
      <c t="s">
        <v>5097</v>
      </c>
      <c t="s">
        <v>1693</v>
      </c>
    </row>
    <row r="58" spans="1:7" ht="11.25" customHeight="1">
      <c r="A58" t="s">
        <v>16</v>
      </c>
      <c t="s">
        <v>5185</v>
      </c>
      <c t="s">
        <v>5186</v>
      </c>
      <c t="s">
        <v>5201</v>
      </c>
      <c t="s">
        <v>5202</v>
      </c>
      <c t="s">
        <v>5097</v>
      </c>
      <c t="s">
        <v>1696</v>
      </c>
    </row>
    <row r="59" spans="1:7" ht="11.25" customHeight="1">
      <c r="A59" t="s">
        <v>16</v>
      </c>
      <c t="s">
        <v>5185</v>
      </c>
      <c t="s">
        <v>5186</v>
      </c>
      <c t="s">
        <v>5203</v>
      </c>
      <c t="s">
        <v>5204</v>
      </c>
      <c t="s">
        <v>5097</v>
      </c>
      <c t="s">
        <v>1700</v>
      </c>
    </row>
    <row r="60" spans="1:7" ht="11.25" customHeight="1">
      <c r="A60" t="s">
        <v>16</v>
      </c>
      <c t="s">
        <v>5185</v>
      </c>
      <c t="s">
        <v>5186</v>
      </c>
      <c t="s">
        <v>5205</v>
      </c>
      <c t="s">
        <v>5206</v>
      </c>
      <c t="s">
        <v>5097</v>
      </c>
      <c t="s">
        <v>1703</v>
      </c>
    </row>
    <row r="61" spans="1:7" ht="11.25" customHeight="1">
      <c r="A61" t="s">
        <v>16</v>
      </c>
      <c t="s">
        <v>5207</v>
      </c>
      <c t="s">
        <v>5208</v>
      </c>
      <c t="s">
        <v>5207</v>
      </c>
      <c t="s">
        <v>5208</v>
      </c>
      <c t="s">
        <v>5209</v>
      </c>
      <c t="s">
        <v>5210</v>
      </c>
    </row>
    <row r="62" spans="1:7" ht="11.25" customHeight="1">
      <c r="A62" t="s">
        <v>16</v>
      </c>
      <c t="s">
        <v>5211</v>
      </c>
      <c t="s">
        <v>5212</v>
      </c>
      <c t="s">
        <v>5211</v>
      </c>
      <c t="s">
        <v>5212</v>
      </c>
      <c t="s">
        <v>5209</v>
      </c>
      <c t="s">
        <v>5213</v>
      </c>
    </row>
    <row r="63" spans="1:7" ht="11.25" customHeight="1">
      <c r="A63" t="s">
        <v>16</v>
      </c>
      <c t="s">
        <v>5214</v>
      </c>
      <c t="s">
        <v>5215</v>
      </c>
      <c t="s">
        <v>5214</v>
      </c>
      <c t="s">
        <v>5215</v>
      </c>
      <c t="s">
        <v>5209</v>
      </c>
      <c t="s">
        <v>5216</v>
      </c>
    </row>
    <row r="64" spans="1:7" ht="11.25" customHeight="1">
      <c r="A64" t="s">
        <v>16</v>
      </c>
      <c t="s">
        <v>5217</v>
      </c>
      <c t="s">
        <v>5218</v>
      </c>
      <c t="s">
        <v>5217</v>
      </c>
      <c t="s">
        <v>5218</v>
      </c>
      <c t="s">
        <v>5209</v>
      </c>
      <c t="s">
        <v>5219</v>
      </c>
    </row>
    <row r="65" spans="1:7" ht="11.25" customHeight="1">
      <c r="A65" t="s">
        <v>16</v>
      </c>
      <c t="s">
        <v>5220</v>
      </c>
      <c t="s">
        <v>5221</v>
      </c>
      <c t="s">
        <v>5220</v>
      </c>
      <c t="s">
        <v>5221</v>
      </c>
      <c t="s">
        <v>5209</v>
      </c>
      <c t="s">
        <v>5222</v>
      </c>
    </row>
    <row r="66" spans="1:7" ht="11.25" customHeight="1">
      <c r="A66" t="s">
        <v>16</v>
      </c>
      <c t="s">
        <v>5223</v>
      </c>
      <c t="s">
        <v>5224</v>
      </c>
      <c t="s">
        <v>5223</v>
      </c>
      <c t="s">
        <v>5224</v>
      </c>
      <c t="s">
        <v>5209</v>
      </c>
      <c t="s">
        <v>5225</v>
      </c>
    </row>
    <row r="67" spans="1:7" ht="11.25" customHeight="1">
      <c r="A67" t="s">
        <v>16</v>
      </c>
      <c t="s">
        <v>5226</v>
      </c>
      <c t="s">
        <v>5227</v>
      </c>
      <c t="s">
        <v>5228</v>
      </c>
      <c t="s">
        <v>5229</v>
      </c>
      <c t="s">
        <v>5097</v>
      </c>
      <c t="s">
        <v>2021</v>
      </c>
    </row>
    <row r="68" spans="1:7" ht="11.25" customHeight="1">
      <c r="A68" t="s">
        <v>16</v>
      </c>
      <c t="s">
        <v>5226</v>
      </c>
      <c t="s">
        <v>5227</v>
      </c>
      <c t="s">
        <v>5230</v>
      </c>
      <c t="s">
        <v>5231</v>
      </c>
      <c t="s">
        <v>5094</v>
      </c>
      <c t="s">
        <v>5232</v>
      </c>
    </row>
    <row r="69" spans="1:7" ht="11.25" customHeight="1">
      <c r="A69" t="s">
        <v>16</v>
      </c>
      <c t="s">
        <v>5226</v>
      </c>
      <c t="s">
        <v>5227</v>
      </c>
      <c t="s">
        <v>5226</v>
      </c>
      <c t="s">
        <v>5227</v>
      </c>
      <c t="s">
        <v>5088</v>
      </c>
      <c t="s">
        <v>2224</v>
      </c>
    </row>
    <row r="70" spans="1:7" ht="11.25" customHeight="1">
      <c r="A70" t="s">
        <v>16</v>
      </c>
      <c t="s">
        <v>5226</v>
      </c>
      <c t="s">
        <v>5227</v>
      </c>
      <c t="s">
        <v>5233</v>
      </c>
      <c t="s">
        <v>5234</v>
      </c>
      <c t="s">
        <v>5091</v>
      </c>
      <c t="s">
        <v>5235</v>
      </c>
    </row>
    <row r="71" spans="1:7" ht="11.25" customHeight="1">
      <c r="A71" t="s">
        <v>16</v>
      </c>
      <c t="s">
        <v>5226</v>
      </c>
      <c t="s">
        <v>5227</v>
      </c>
      <c t="s">
        <v>5236</v>
      </c>
      <c t="s">
        <v>5237</v>
      </c>
      <c t="s">
        <v>5097</v>
      </c>
      <c t="s">
        <v>5238</v>
      </c>
    </row>
    <row r="72" spans="1:7" ht="11.25" customHeight="1">
      <c r="A72" t="s">
        <v>16</v>
      </c>
      <c t="s">
        <v>5226</v>
      </c>
      <c t="s">
        <v>5227</v>
      </c>
      <c t="s">
        <v>5239</v>
      </c>
      <c t="s">
        <v>5240</v>
      </c>
      <c t="s">
        <v>5094</v>
      </c>
      <c t="s">
        <v>5241</v>
      </c>
    </row>
    <row r="73" spans="1:7" ht="11.25" customHeight="1">
      <c r="A73" t="s">
        <v>16</v>
      </c>
      <c t="s">
        <v>5226</v>
      </c>
      <c t="s">
        <v>5227</v>
      </c>
      <c t="s">
        <v>5242</v>
      </c>
      <c t="s">
        <v>5243</v>
      </c>
      <c t="s">
        <v>5097</v>
      </c>
      <c t="s">
        <v>5244</v>
      </c>
    </row>
    <row r="74" spans="1:7" ht="11.25" customHeight="1">
      <c r="A74" t="s">
        <v>16</v>
      </c>
      <c t="s">
        <v>5226</v>
      </c>
      <c t="s">
        <v>5227</v>
      </c>
      <c t="s">
        <v>5245</v>
      </c>
      <c t="s">
        <v>5246</v>
      </c>
      <c t="s">
        <v>5097</v>
      </c>
      <c t="s">
        <v>5247</v>
      </c>
    </row>
    <row r="75" spans="1:7" ht="11.25" customHeight="1">
      <c r="A75" t="s">
        <v>16</v>
      </c>
      <c t="s">
        <v>5226</v>
      </c>
      <c t="s">
        <v>5227</v>
      </c>
      <c t="s">
        <v>5248</v>
      </c>
      <c t="s">
        <v>5249</v>
      </c>
      <c t="s">
        <v>5097</v>
      </c>
      <c t="s">
        <v>5250</v>
      </c>
    </row>
    <row r="76" spans="1:7" ht="11.25" customHeight="1">
      <c r="A76" t="s">
        <v>16</v>
      </c>
      <c t="s">
        <v>5226</v>
      </c>
      <c t="s">
        <v>5227</v>
      </c>
      <c t="s">
        <v>5251</v>
      </c>
      <c t="s">
        <v>5252</v>
      </c>
      <c t="s">
        <v>5097</v>
      </c>
      <c t="s">
        <v>5253</v>
      </c>
    </row>
    <row r="77" spans="1:7" ht="11.25" customHeight="1">
      <c r="A77" t="s">
        <v>16</v>
      </c>
      <c t="s">
        <v>5226</v>
      </c>
      <c t="s">
        <v>5227</v>
      </c>
      <c t="s">
        <v>5254</v>
      </c>
      <c t="s">
        <v>5255</v>
      </c>
      <c t="s">
        <v>5097</v>
      </c>
      <c t="s">
        <v>5256</v>
      </c>
    </row>
    <row r="78" spans="1:7" ht="11.25" customHeight="1">
      <c r="A78" t="s">
        <v>16</v>
      </c>
      <c t="s">
        <v>5226</v>
      </c>
      <c t="s">
        <v>5227</v>
      </c>
      <c t="s">
        <v>5257</v>
      </c>
      <c t="s">
        <v>5258</v>
      </c>
      <c t="s">
        <v>5097</v>
      </c>
      <c t="s">
        <v>5259</v>
      </c>
    </row>
    <row r="79" spans="1:7" ht="11.25" customHeight="1">
      <c r="A79" t="s">
        <v>16</v>
      </c>
      <c t="s">
        <v>5226</v>
      </c>
      <c t="s">
        <v>5227</v>
      </c>
      <c t="s">
        <v>5260</v>
      </c>
      <c t="s">
        <v>5261</v>
      </c>
      <c t="s">
        <v>5097</v>
      </c>
      <c t="s">
        <v>5262</v>
      </c>
    </row>
    <row r="80" spans="1:7" ht="11.25" customHeight="1">
      <c r="A80" t="s">
        <v>16</v>
      </c>
      <c t="s">
        <v>5226</v>
      </c>
      <c t="s">
        <v>5227</v>
      </c>
      <c t="s">
        <v>5263</v>
      </c>
      <c t="s">
        <v>5264</v>
      </c>
      <c t="s">
        <v>5097</v>
      </c>
      <c t="s">
        <v>5265</v>
      </c>
    </row>
    <row r="81" spans="1:7" ht="11.25" customHeight="1">
      <c r="A81" t="s">
        <v>16</v>
      </c>
      <c t="s">
        <v>5226</v>
      </c>
      <c t="s">
        <v>5227</v>
      </c>
      <c t="s">
        <v>5266</v>
      </c>
      <c t="s">
        <v>5267</v>
      </c>
      <c t="s">
        <v>5097</v>
      </c>
      <c t="s">
        <v>5268</v>
      </c>
    </row>
    <row r="82" spans="1:7" ht="11.25" customHeight="1">
      <c r="A82" t="s">
        <v>16</v>
      </c>
      <c t="s">
        <v>5226</v>
      </c>
      <c t="s">
        <v>5227</v>
      </c>
      <c t="s">
        <v>5269</v>
      </c>
      <c t="s">
        <v>5270</v>
      </c>
      <c t="s">
        <v>5097</v>
      </c>
      <c t="s">
        <v>5271</v>
      </c>
    </row>
    <row r="83" spans="1:7" ht="11.25" customHeight="1">
      <c r="A83" t="s">
        <v>16</v>
      </c>
      <c t="s">
        <v>5272</v>
      </c>
      <c t="s">
        <v>5273</v>
      </c>
      <c t="s">
        <v>5274</v>
      </c>
      <c t="s">
        <v>5275</v>
      </c>
      <c t="s">
        <v>5097</v>
      </c>
      <c t="s">
        <v>5276</v>
      </c>
    </row>
    <row r="84" spans="1:7" ht="11.25" customHeight="1">
      <c r="A84" t="s">
        <v>16</v>
      </c>
      <c t="s">
        <v>5272</v>
      </c>
      <c t="s">
        <v>5273</v>
      </c>
      <c t="s">
        <v>5277</v>
      </c>
      <c t="s">
        <v>5278</v>
      </c>
      <c t="s">
        <v>5097</v>
      </c>
      <c t="s">
        <v>5279</v>
      </c>
    </row>
    <row r="85" spans="1:7" ht="11.25" customHeight="1">
      <c r="A85" t="s">
        <v>16</v>
      </c>
      <c t="s">
        <v>5272</v>
      </c>
      <c t="s">
        <v>5273</v>
      </c>
      <c t="s">
        <v>5272</v>
      </c>
      <c t="s">
        <v>5273</v>
      </c>
      <c t="s">
        <v>5088</v>
      </c>
      <c t="s">
        <v>5280</v>
      </c>
    </row>
    <row r="86" spans="1:7" ht="11.25" customHeight="1">
      <c r="A86" t="s">
        <v>16</v>
      </c>
      <c t="s">
        <v>5272</v>
      </c>
      <c t="s">
        <v>5273</v>
      </c>
      <c t="s">
        <v>5281</v>
      </c>
      <c t="s">
        <v>5282</v>
      </c>
      <c t="s">
        <v>5097</v>
      </c>
      <c t="s">
        <v>5283</v>
      </c>
    </row>
    <row r="87" spans="1:7" ht="11.25" customHeight="1">
      <c r="A87" t="s">
        <v>16</v>
      </c>
      <c t="s">
        <v>5272</v>
      </c>
      <c t="s">
        <v>5273</v>
      </c>
      <c t="s">
        <v>5284</v>
      </c>
      <c t="s">
        <v>5285</v>
      </c>
      <c t="s">
        <v>5097</v>
      </c>
      <c t="s">
        <v>5286</v>
      </c>
    </row>
    <row r="88" spans="1:7" ht="11.25" customHeight="1">
      <c r="A88" t="s">
        <v>16</v>
      </c>
      <c t="s">
        <v>5272</v>
      </c>
      <c t="s">
        <v>5273</v>
      </c>
      <c t="s">
        <v>5287</v>
      </c>
      <c t="s">
        <v>5288</v>
      </c>
      <c t="s">
        <v>5097</v>
      </c>
      <c t="s">
        <v>5289</v>
      </c>
    </row>
    <row r="89" spans="1:7" ht="11.25" customHeight="1">
      <c r="A89" t="s">
        <v>16</v>
      </c>
      <c t="s">
        <v>5272</v>
      </c>
      <c t="s">
        <v>5273</v>
      </c>
      <c t="s">
        <v>5290</v>
      </c>
      <c t="s">
        <v>5291</v>
      </c>
      <c t="s">
        <v>5097</v>
      </c>
      <c t="s">
        <v>5292</v>
      </c>
    </row>
    <row r="90" spans="1:7" ht="11.25" customHeight="1">
      <c r="A90" t="s">
        <v>16</v>
      </c>
      <c t="s">
        <v>5272</v>
      </c>
      <c t="s">
        <v>5273</v>
      </c>
      <c t="s">
        <v>5293</v>
      </c>
      <c t="s">
        <v>5294</v>
      </c>
      <c t="s">
        <v>5097</v>
      </c>
      <c t="s">
        <v>5295</v>
      </c>
    </row>
    <row r="91" spans="1:7" ht="11.25" customHeight="1">
      <c r="A91" t="s">
        <v>16</v>
      </c>
      <c t="s">
        <v>5272</v>
      </c>
      <c t="s">
        <v>5273</v>
      </c>
      <c t="s">
        <v>5296</v>
      </c>
      <c t="s">
        <v>5297</v>
      </c>
      <c t="s">
        <v>5097</v>
      </c>
      <c t="s">
        <v>5298</v>
      </c>
    </row>
    <row r="92" spans="1:7" ht="11.25" customHeight="1">
      <c r="A92" t="s">
        <v>16</v>
      </c>
      <c t="s">
        <v>5272</v>
      </c>
      <c t="s">
        <v>5273</v>
      </c>
      <c t="s">
        <v>5299</v>
      </c>
      <c t="s">
        <v>5300</v>
      </c>
      <c t="s">
        <v>5097</v>
      </c>
      <c t="s">
        <v>5301</v>
      </c>
    </row>
    <row r="93" spans="1:7" ht="11.25" customHeight="1">
      <c r="A93" t="s">
        <v>16</v>
      </c>
      <c t="s">
        <v>5272</v>
      </c>
      <c t="s">
        <v>5273</v>
      </c>
      <c t="s">
        <v>5302</v>
      </c>
      <c t="s">
        <v>5303</v>
      </c>
      <c t="s">
        <v>5097</v>
      </c>
      <c t="s">
        <v>5304</v>
      </c>
    </row>
    <row r="94" spans="1:7" ht="11.25" customHeight="1">
      <c r="A94" t="s">
        <v>16</v>
      </c>
      <c t="s">
        <v>99</v>
      </c>
      <c t="s">
        <v>5305</v>
      </c>
      <c t="s">
        <v>5306</v>
      </c>
      <c t="s">
        <v>5307</v>
      </c>
      <c t="s">
        <v>5097</v>
      </c>
      <c t="s">
        <v>5308</v>
      </c>
    </row>
    <row r="95" spans="1:7" ht="11.25" customHeight="1">
      <c r="A95" t="s">
        <v>16</v>
      </c>
      <c t="s">
        <v>99</v>
      </c>
      <c t="s">
        <v>5305</v>
      </c>
      <c t="s">
        <v>5309</v>
      </c>
      <c t="s">
        <v>5310</v>
      </c>
      <c t="s">
        <v>5097</v>
      </c>
      <c t="s">
        <v>5311</v>
      </c>
    </row>
    <row r="96" spans="1:7" ht="11.25" customHeight="1">
      <c r="A96" t="s">
        <v>16</v>
      </c>
      <c t="s">
        <v>99</v>
      </c>
      <c t="s">
        <v>5305</v>
      </c>
      <c t="s">
        <v>99</v>
      </c>
      <c t="s">
        <v>5305</v>
      </c>
      <c t="s">
        <v>5088</v>
      </c>
      <c t="s">
        <v>5312</v>
      </c>
    </row>
    <row r="97" spans="1:7" ht="11.25" customHeight="1">
      <c r="A97" t="s">
        <v>16</v>
      </c>
      <c t="s">
        <v>99</v>
      </c>
      <c t="s">
        <v>5305</v>
      </c>
      <c t="s">
        <v>5313</v>
      </c>
      <c t="s">
        <v>5314</v>
      </c>
      <c t="s">
        <v>5097</v>
      </c>
      <c t="s">
        <v>5315</v>
      </c>
    </row>
    <row r="98" spans="1:7" ht="11.25" customHeight="1">
      <c r="A98" t="s">
        <v>16</v>
      </c>
      <c t="s">
        <v>99</v>
      </c>
      <c t="s">
        <v>5305</v>
      </c>
      <c t="s">
        <v>100</v>
      </c>
      <c t="s">
        <v>101</v>
      </c>
      <c t="s">
        <v>5091</v>
      </c>
      <c t="s">
        <v>98</v>
      </c>
    </row>
    <row r="99" spans="1:7" ht="11.25" customHeight="1">
      <c r="A99" t="s">
        <v>16</v>
      </c>
      <c t="s">
        <v>99</v>
      </c>
      <c t="s">
        <v>5305</v>
      </c>
      <c t="s">
        <v>5316</v>
      </c>
      <c t="s">
        <v>5317</v>
      </c>
      <c t="s">
        <v>5097</v>
      </c>
      <c t="s">
        <v>5318</v>
      </c>
    </row>
    <row r="100" spans="1:7" ht="11.25" customHeight="1">
      <c r="A100" t="s">
        <v>16</v>
      </c>
      <c t="s">
        <v>99</v>
      </c>
      <c t="s">
        <v>5305</v>
      </c>
      <c t="s">
        <v>5319</v>
      </c>
      <c t="s">
        <v>5320</v>
      </c>
      <c t="s">
        <v>5097</v>
      </c>
      <c t="s">
        <v>5321</v>
      </c>
    </row>
    <row r="101" spans="1:7" ht="11.25" customHeight="1">
      <c r="A101" t="s">
        <v>16</v>
      </c>
      <c t="s">
        <v>99</v>
      </c>
      <c t="s">
        <v>5305</v>
      </c>
      <c t="s">
        <v>5322</v>
      </c>
      <c t="s">
        <v>5323</v>
      </c>
      <c t="s">
        <v>5097</v>
      </c>
      <c t="s">
        <v>5324</v>
      </c>
    </row>
    <row r="102" spans="1:7" ht="11.25" customHeight="1">
      <c r="A102" t="s">
        <v>16</v>
      </c>
      <c t="s">
        <v>99</v>
      </c>
      <c t="s">
        <v>5305</v>
      </c>
      <c t="s">
        <v>5325</v>
      </c>
      <c t="s">
        <v>5326</v>
      </c>
      <c t="s">
        <v>5097</v>
      </c>
      <c t="s">
        <v>5327</v>
      </c>
    </row>
    <row r="103" spans="1:7" ht="11.25" customHeight="1">
      <c r="A103" t="s">
        <v>16</v>
      </c>
      <c t="s">
        <v>99</v>
      </c>
      <c t="s">
        <v>5305</v>
      </c>
      <c t="s">
        <v>5328</v>
      </c>
      <c t="s">
        <v>5329</v>
      </c>
      <c t="s">
        <v>5097</v>
      </c>
      <c t="s">
        <v>5330</v>
      </c>
    </row>
    <row r="104" spans="1:7" ht="11.25" customHeight="1">
      <c r="A104" t="s">
        <v>16</v>
      </c>
      <c t="s">
        <v>99</v>
      </c>
      <c t="s">
        <v>5305</v>
      </c>
      <c t="s">
        <v>5331</v>
      </c>
      <c t="s">
        <v>5332</v>
      </c>
      <c t="s">
        <v>5097</v>
      </c>
      <c t="s">
        <v>5333</v>
      </c>
    </row>
    <row r="105" spans="1:7" ht="11.25" customHeight="1">
      <c r="A105" t="s">
        <v>16</v>
      </c>
      <c t="s">
        <v>99</v>
      </c>
      <c t="s">
        <v>5305</v>
      </c>
      <c t="s">
        <v>5334</v>
      </c>
      <c t="s">
        <v>5335</v>
      </c>
      <c t="s">
        <v>5097</v>
      </c>
      <c t="s">
        <v>5336</v>
      </c>
    </row>
    <row r="106" spans="1:7" ht="11.25" customHeight="1">
      <c r="A106" t="s">
        <v>16</v>
      </c>
      <c t="s">
        <v>5337</v>
      </c>
      <c t="s">
        <v>5338</v>
      </c>
      <c t="s">
        <v>5339</v>
      </c>
      <c t="s">
        <v>5340</v>
      </c>
      <c t="s">
        <v>5097</v>
      </c>
      <c t="s">
        <v>5341</v>
      </c>
    </row>
    <row r="107" spans="1:7" ht="11.25" customHeight="1">
      <c r="A107" t="s">
        <v>16</v>
      </c>
      <c t="s">
        <v>5337</v>
      </c>
      <c t="s">
        <v>5338</v>
      </c>
      <c t="s">
        <v>5337</v>
      </c>
      <c t="s">
        <v>5338</v>
      </c>
      <c t="s">
        <v>5088</v>
      </c>
      <c t="s">
        <v>5342</v>
      </c>
    </row>
    <row r="108" spans="1:7" ht="11.25" customHeight="1">
      <c r="A108" t="s">
        <v>16</v>
      </c>
      <c t="s">
        <v>5337</v>
      </c>
      <c t="s">
        <v>5338</v>
      </c>
      <c t="s">
        <v>5343</v>
      </c>
      <c t="s">
        <v>5344</v>
      </c>
      <c t="s">
        <v>5097</v>
      </c>
      <c t="s">
        <v>5345</v>
      </c>
    </row>
    <row r="109" spans="1:7" ht="11.25" customHeight="1">
      <c r="A109" t="s">
        <v>16</v>
      </c>
      <c t="s">
        <v>5337</v>
      </c>
      <c t="s">
        <v>5338</v>
      </c>
      <c t="s">
        <v>5346</v>
      </c>
      <c t="s">
        <v>5347</v>
      </c>
      <c t="s">
        <v>5097</v>
      </c>
      <c t="s">
        <v>5348</v>
      </c>
    </row>
    <row r="110" spans="1:7" ht="11.25" customHeight="1">
      <c r="A110" t="s">
        <v>16</v>
      </c>
      <c t="s">
        <v>5337</v>
      </c>
      <c t="s">
        <v>5338</v>
      </c>
      <c t="s">
        <v>5349</v>
      </c>
      <c t="s">
        <v>5350</v>
      </c>
      <c t="s">
        <v>5091</v>
      </c>
      <c t="s">
        <v>5351</v>
      </c>
    </row>
    <row r="111" spans="1:7" ht="11.25" customHeight="1">
      <c r="A111" t="s">
        <v>16</v>
      </c>
      <c t="s">
        <v>5337</v>
      </c>
      <c t="s">
        <v>5338</v>
      </c>
      <c t="s">
        <v>5352</v>
      </c>
      <c t="s">
        <v>5353</v>
      </c>
      <c t="s">
        <v>5097</v>
      </c>
      <c t="s">
        <v>5354</v>
      </c>
    </row>
    <row r="112" spans="1:7" ht="11.25" customHeight="1">
      <c r="A112" t="s">
        <v>16</v>
      </c>
      <c t="s">
        <v>5337</v>
      </c>
      <c t="s">
        <v>5338</v>
      </c>
      <c t="s">
        <v>5355</v>
      </c>
      <c t="s">
        <v>5356</v>
      </c>
      <c t="s">
        <v>5097</v>
      </c>
      <c t="s">
        <v>5357</v>
      </c>
    </row>
    <row r="113" spans="1:7" ht="11.25" customHeight="1">
      <c r="A113" t="s">
        <v>16</v>
      </c>
      <c t="s">
        <v>5337</v>
      </c>
      <c t="s">
        <v>5338</v>
      </c>
      <c t="s">
        <v>5358</v>
      </c>
      <c t="s">
        <v>5359</v>
      </c>
      <c t="s">
        <v>5097</v>
      </c>
      <c t="s">
        <v>5360</v>
      </c>
    </row>
    <row r="114" spans="1:7" ht="11.25" customHeight="1">
      <c r="A114" t="s">
        <v>16</v>
      </c>
      <c t="s">
        <v>5337</v>
      </c>
      <c t="s">
        <v>5338</v>
      </c>
      <c t="s">
        <v>5361</v>
      </c>
      <c t="s">
        <v>5362</v>
      </c>
      <c t="s">
        <v>5097</v>
      </c>
      <c t="s">
        <v>5363</v>
      </c>
    </row>
    <row r="115" spans="1:7" ht="11.25" customHeight="1">
      <c r="A115" t="s">
        <v>16</v>
      </c>
      <c t="s">
        <v>5337</v>
      </c>
      <c t="s">
        <v>5338</v>
      </c>
      <c t="s">
        <v>5364</v>
      </c>
      <c t="s">
        <v>5365</v>
      </c>
      <c t="s">
        <v>5097</v>
      </c>
      <c t="s">
        <v>5366</v>
      </c>
    </row>
    <row r="116" spans="1:7" ht="11.25" customHeight="1">
      <c r="A116" t="s">
        <v>16</v>
      </c>
      <c t="s">
        <v>5367</v>
      </c>
      <c t="s">
        <v>5368</v>
      </c>
      <c t="s">
        <v>5369</v>
      </c>
      <c t="s">
        <v>5370</v>
      </c>
      <c t="s">
        <v>5097</v>
      </c>
      <c t="s">
        <v>5371</v>
      </c>
    </row>
    <row r="117" spans="1:7" ht="11.25" customHeight="1">
      <c r="A117" t="s">
        <v>16</v>
      </c>
      <c t="s">
        <v>5367</v>
      </c>
      <c t="s">
        <v>5368</v>
      </c>
      <c t="s">
        <v>5372</v>
      </c>
      <c t="s">
        <v>5373</v>
      </c>
      <c t="s">
        <v>5097</v>
      </c>
      <c t="s">
        <v>5374</v>
      </c>
    </row>
    <row r="118" spans="1:7" ht="11.25" customHeight="1">
      <c r="A118" t="s">
        <v>16</v>
      </c>
      <c t="s">
        <v>5367</v>
      </c>
      <c t="s">
        <v>5368</v>
      </c>
      <c t="s">
        <v>5375</v>
      </c>
      <c t="s">
        <v>5376</v>
      </c>
      <c t="s">
        <v>5097</v>
      </c>
      <c t="s">
        <v>5377</v>
      </c>
    </row>
    <row r="119" spans="1:7" ht="11.25" customHeight="1">
      <c r="A119" t="s">
        <v>16</v>
      </c>
      <c t="s">
        <v>5367</v>
      </c>
      <c t="s">
        <v>5368</v>
      </c>
      <c t="s">
        <v>5378</v>
      </c>
      <c t="s">
        <v>5379</v>
      </c>
      <c t="s">
        <v>5097</v>
      </c>
      <c t="s">
        <v>5380</v>
      </c>
    </row>
    <row r="120" spans="1:7" ht="11.25" customHeight="1">
      <c r="A120" t="s">
        <v>16</v>
      </c>
      <c t="s">
        <v>5367</v>
      </c>
      <c t="s">
        <v>5368</v>
      </c>
      <c t="s">
        <v>5367</v>
      </c>
      <c t="s">
        <v>5368</v>
      </c>
      <c t="s">
        <v>5088</v>
      </c>
      <c t="s">
        <v>5381</v>
      </c>
    </row>
    <row r="121" spans="1:7" ht="11.25" customHeight="1">
      <c r="A121" t="s">
        <v>16</v>
      </c>
      <c t="s">
        <v>5367</v>
      </c>
      <c t="s">
        <v>5368</v>
      </c>
      <c t="s">
        <v>5382</v>
      </c>
      <c t="s">
        <v>5383</v>
      </c>
      <c t="s">
        <v>5097</v>
      </c>
      <c t="s">
        <v>5384</v>
      </c>
    </row>
    <row r="122" spans="1:7" ht="11.25" customHeight="1">
      <c r="A122" t="s">
        <v>16</v>
      </c>
      <c t="s">
        <v>5367</v>
      </c>
      <c t="s">
        <v>5368</v>
      </c>
      <c t="s">
        <v>5385</v>
      </c>
      <c t="s">
        <v>5386</v>
      </c>
      <c t="s">
        <v>5097</v>
      </c>
      <c t="s">
        <v>5387</v>
      </c>
    </row>
    <row r="123" spans="1:7" ht="11.25" customHeight="1">
      <c r="A123" t="s">
        <v>16</v>
      </c>
      <c t="s">
        <v>5367</v>
      </c>
      <c t="s">
        <v>5368</v>
      </c>
      <c t="s">
        <v>5388</v>
      </c>
      <c t="s">
        <v>5389</v>
      </c>
      <c t="s">
        <v>5097</v>
      </c>
      <c t="s">
        <v>5390</v>
      </c>
    </row>
    <row r="124" spans="1:7" ht="11.25" customHeight="1">
      <c r="A124" t="s">
        <v>16</v>
      </c>
      <c t="s">
        <v>5367</v>
      </c>
      <c t="s">
        <v>5368</v>
      </c>
      <c t="s">
        <v>5391</v>
      </c>
      <c t="s">
        <v>5392</v>
      </c>
      <c t="s">
        <v>5097</v>
      </c>
      <c t="s">
        <v>5393</v>
      </c>
    </row>
    <row r="125" spans="1:7" ht="11.25" customHeight="1">
      <c r="A125" t="s">
        <v>16</v>
      </c>
      <c t="s">
        <v>5394</v>
      </c>
      <c t="s">
        <v>5395</v>
      </c>
      <c t="s">
        <v>5396</v>
      </c>
      <c t="s">
        <v>5397</v>
      </c>
      <c t="s">
        <v>5097</v>
      </c>
      <c t="s">
        <v>5398</v>
      </c>
    </row>
    <row r="126" spans="1:7" ht="11.25" customHeight="1">
      <c r="A126" t="s">
        <v>16</v>
      </c>
      <c t="s">
        <v>5394</v>
      </c>
      <c t="s">
        <v>5395</v>
      </c>
      <c t="s">
        <v>5394</v>
      </c>
      <c t="s">
        <v>5395</v>
      </c>
      <c t="s">
        <v>5088</v>
      </c>
      <c t="s">
        <v>5399</v>
      </c>
    </row>
    <row r="127" spans="1:7" ht="11.25" customHeight="1">
      <c r="A127" t="s">
        <v>16</v>
      </c>
      <c t="s">
        <v>5394</v>
      </c>
      <c t="s">
        <v>5395</v>
      </c>
      <c t="s">
        <v>5400</v>
      </c>
      <c t="s">
        <v>5401</v>
      </c>
      <c t="s">
        <v>5097</v>
      </c>
      <c t="s">
        <v>5402</v>
      </c>
    </row>
    <row r="128" spans="1:7" ht="11.25" customHeight="1">
      <c r="A128" t="s">
        <v>16</v>
      </c>
      <c t="s">
        <v>5394</v>
      </c>
      <c t="s">
        <v>5395</v>
      </c>
      <c t="s">
        <v>5403</v>
      </c>
      <c t="s">
        <v>5404</v>
      </c>
      <c t="s">
        <v>5097</v>
      </c>
      <c t="s">
        <v>5405</v>
      </c>
    </row>
    <row r="129" spans="1:7" ht="11.25" customHeight="1">
      <c r="A129" t="s">
        <v>16</v>
      </c>
      <c t="s">
        <v>5394</v>
      </c>
      <c t="s">
        <v>5395</v>
      </c>
      <c t="s">
        <v>5406</v>
      </c>
      <c t="s">
        <v>5407</v>
      </c>
      <c t="s">
        <v>5097</v>
      </c>
      <c t="s">
        <v>5408</v>
      </c>
    </row>
    <row r="130" spans="1:7" ht="11.25" customHeight="1">
      <c r="A130" t="s">
        <v>16</v>
      </c>
      <c t="s">
        <v>5394</v>
      </c>
      <c t="s">
        <v>5395</v>
      </c>
      <c t="s">
        <v>5409</v>
      </c>
      <c t="s">
        <v>5410</v>
      </c>
      <c t="s">
        <v>5097</v>
      </c>
      <c t="s">
        <v>5411</v>
      </c>
    </row>
    <row r="131" spans="1:7" ht="11.25" customHeight="1">
      <c r="A131" t="s">
        <v>16</v>
      </c>
      <c t="s">
        <v>5394</v>
      </c>
      <c t="s">
        <v>5395</v>
      </c>
      <c t="s">
        <v>5412</v>
      </c>
      <c t="s">
        <v>5413</v>
      </c>
      <c t="s">
        <v>5097</v>
      </c>
      <c t="s">
        <v>5414</v>
      </c>
    </row>
    <row r="132" spans="1:7" ht="11.25" customHeight="1">
      <c r="A132" t="s">
        <v>16</v>
      </c>
      <c t="s">
        <v>5394</v>
      </c>
      <c t="s">
        <v>5395</v>
      </c>
      <c t="s">
        <v>5415</v>
      </c>
      <c t="s">
        <v>5416</v>
      </c>
      <c t="s">
        <v>5097</v>
      </c>
      <c t="s">
        <v>5417</v>
      </c>
    </row>
    <row r="133" spans="1:7" ht="11.25" customHeight="1">
      <c r="A133" t="s">
        <v>16</v>
      </c>
      <c t="s">
        <v>5394</v>
      </c>
      <c t="s">
        <v>5395</v>
      </c>
      <c t="s">
        <v>5418</v>
      </c>
      <c t="s">
        <v>5419</v>
      </c>
      <c t="s">
        <v>5097</v>
      </c>
      <c t="s">
        <v>5420</v>
      </c>
    </row>
    <row r="134" spans="1:7" ht="11.25" customHeight="1">
      <c r="A134" t="s">
        <v>16</v>
      </c>
      <c t="s">
        <v>5394</v>
      </c>
      <c t="s">
        <v>5395</v>
      </c>
      <c t="s">
        <v>5421</v>
      </c>
      <c t="s">
        <v>5422</v>
      </c>
      <c t="s">
        <v>5097</v>
      </c>
      <c t="s">
        <v>5423</v>
      </c>
    </row>
    <row r="135" spans="1:7" ht="11.25" customHeight="1">
      <c r="A135" t="s">
        <v>16</v>
      </c>
      <c t="s">
        <v>5424</v>
      </c>
      <c t="s">
        <v>5425</v>
      </c>
      <c t="s">
        <v>5426</v>
      </c>
      <c t="s">
        <v>5427</v>
      </c>
      <c t="s">
        <v>5097</v>
      </c>
      <c t="s">
        <v>5428</v>
      </c>
    </row>
    <row r="136" spans="1:7" ht="11.25" customHeight="1">
      <c r="A136" t="s">
        <v>16</v>
      </c>
      <c t="s">
        <v>5424</v>
      </c>
      <c t="s">
        <v>5425</v>
      </c>
      <c t="s">
        <v>5429</v>
      </c>
      <c t="s">
        <v>5430</v>
      </c>
      <c t="s">
        <v>5097</v>
      </c>
      <c t="s">
        <v>5431</v>
      </c>
    </row>
    <row r="137" spans="1:7" ht="11.25" customHeight="1">
      <c r="A137" t="s">
        <v>16</v>
      </c>
      <c t="s">
        <v>5424</v>
      </c>
      <c t="s">
        <v>5425</v>
      </c>
      <c t="s">
        <v>5432</v>
      </c>
      <c t="s">
        <v>5433</v>
      </c>
      <c t="s">
        <v>5097</v>
      </c>
      <c t="s">
        <v>5434</v>
      </c>
    </row>
    <row r="138" spans="1:7" ht="11.25" customHeight="1">
      <c r="A138" t="s">
        <v>16</v>
      </c>
      <c t="s">
        <v>5424</v>
      </c>
      <c t="s">
        <v>5425</v>
      </c>
      <c t="s">
        <v>5435</v>
      </c>
      <c t="s">
        <v>5436</v>
      </c>
      <c t="s">
        <v>5097</v>
      </c>
      <c t="s">
        <v>5437</v>
      </c>
    </row>
    <row r="139" spans="1:7" ht="11.25" customHeight="1">
      <c r="A139" t="s">
        <v>16</v>
      </c>
      <c t="s">
        <v>5424</v>
      </c>
      <c t="s">
        <v>5425</v>
      </c>
      <c t="s">
        <v>5424</v>
      </c>
      <c t="s">
        <v>5425</v>
      </c>
      <c t="s">
        <v>5088</v>
      </c>
      <c t="s">
        <v>5438</v>
      </c>
    </row>
    <row r="140" spans="1:7" ht="11.25" customHeight="1">
      <c r="A140" t="s">
        <v>16</v>
      </c>
      <c t="s">
        <v>5424</v>
      </c>
      <c t="s">
        <v>5425</v>
      </c>
      <c t="s">
        <v>5439</v>
      </c>
      <c t="s">
        <v>5440</v>
      </c>
      <c t="s">
        <v>5091</v>
      </c>
      <c t="s">
        <v>5441</v>
      </c>
    </row>
    <row r="141" spans="1:7" ht="11.25" customHeight="1">
      <c r="A141" t="s">
        <v>16</v>
      </c>
      <c t="s">
        <v>5424</v>
      </c>
      <c t="s">
        <v>5425</v>
      </c>
      <c t="s">
        <v>5442</v>
      </c>
      <c t="s">
        <v>5443</v>
      </c>
      <c t="s">
        <v>5097</v>
      </c>
      <c t="s">
        <v>5444</v>
      </c>
    </row>
    <row r="142" spans="1:7" ht="11.25" customHeight="1">
      <c r="A142" t="s">
        <v>16</v>
      </c>
      <c t="s">
        <v>5424</v>
      </c>
      <c t="s">
        <v>5425</v>
      </c>
      <c t="s">
        <v>5445</v>
      </c>
      <c t="s">
        <v>5446</v>
      </c>
      <c t="s">
        <v>5097</v>
      </c>
      <c t="s">
        <v>5447</v>
      </c>
    </row>
    <row r="143" spans="1:7" ht="11.25" customHeight="1">
      <c r="A143" t="s">
        <v>16</v>
      </c>
      <c t="s">
        <v>5424</v>
      </c>
      <c t="s">
        <v>5425</v>
      </c>
      <c t="s">
        <v>5448</v>
      </c>
      <c t="s">
        <v>5449</v>
      </c>
      <c t="s">
        <v>5097</v>
      </c>
      <c t="s">
        <v>5450</v>
      </c>
    </row>
    <row r="144" spans="1:7" ht="11.25" customHeight="1">
      <c r="A144" t="s">
        <v>16</v>
      </c>
      <c t="s">
        <v>5424</v>
      </c>
      <c t="s">
        <v>5425</v>
      </c>
      <c t="s">
        <v>5451</v>
      </c>
      <c t="s">
        <v>5452</v>
      </c>
      <c t="s">
        <v>5097</v>
      </c>
      <c t="s">
        <v>5453</v>
      </c>
    </row>
    <row r="145" spans="1:7" ht="11.25" customHeight="1">
      <c r="A145" t="s">
        <v>16</v>
      </c>
      <c t="s">
        <v>5424</v>
      </c>
      <c t="s">
        <v>5425</v>
      </c>
      <c t="s">
        <v>5454</v>
      </c>
      <c t="s">
        <v>5455</v>
      </c>
      <c t="s">
        <v>5097</v>
      </c>
      <c t="s">
        <v>5456</v>
      </c>
    </row>
    <row r="146" spans="1:7" ht="11.25" customHeight="1">
      <c r="A146" t="s">
        <v>16</v>
      </c>
      <c t="s">
        <v>5457</v>
      </c>
      <c t="s">
        <v>5458</v>
      </c>
      <c t="s">
        <v>5459</v>
      </c>
      <c t="s">
        <v>5460</v>
      </c>
      <c t="s">
        <v>5097</v>
      </c>
      <c t="s">
        <v>5461</v>
      </c>
    </row>
    <row r="147" spans="1:7" ht="11.25" customHeight="1">
      <c r="A147" t="s">
        <v>16</v>
      </c>
      <c t="s">
        <v>5457</v>
      </c>
      <c t="s">
        <v>5458</v>
      </c>
      <c t="s">
        <v>5457</v>
      </c>
      <c t="s">
        <v>5458</v>
      </c>
      <c t="s">
        <v>5088</v>
      </c>
      <c t="s">
        <v>5462</v>
      </c>
    </row>
    <row r="148" spans="1:7" ht="11.25" customHeight="1">
      <c r="A148" t="s">
        <v>16</v>
      </c>
      <c t="s">
        <v>5457</v>
      </c>
      <c t="s">
        <v>5458</v>
      </c>
      <c t="s">
        <v>5463</v>
      </c>
      <c t="s">
        <v>5464</v>
      </c>
      <c t="s">
        <v>5097</v>
      </c>
      <c t="s">
        <v>5465</v>
      </c>
    </row>
    <row r="149" spans="1:7" ht="11.25" customHeight="1">
      <c r="A149" t="s">
        <v>16</v>
      </c>
      <c t="s">
        <v>5457</v>
      </c>
      <c t="s">
        <v>5458</v>
      </c>
      <c t="s">
        <v>5466</v>
      </c>
      <c t="s">
        <v>5467</v>
      </c>
      <c t="s">
        <v>5097</v>
      </c>
      <c t="s">
        <v>5468</v>
      </c>
    </row>
    <row r="150" spans="1:7" ht="11.25" customHeight="1">
      <c r="A150" t="s">
        <v>16</v>
      </c>
      <c t="s">
        <v>5457</v>
      </c>
      <c t="s">
        <v>5458</v>
      </c>
      <c t="s">
        <v>5469</v>
      </c>
      <c t="s">
        <v>5470</v>
      </c>
      <c t="s">
        <v>5097</v>
      </c>
      <c t="s">
        <v>5471</v>
      </c>
    </row>
    <row r="151" spans="1:7" ht="11.25" customHeight="1">
      <c r="A151" t="s">
        <v>16</v>
      </c>
      <c t="s">
        <v>5457</v>
      </c>
      <c t="s">
        <v>5458</v>
      </c>
      <c t="s">
        <v>5472</v>
      </c>
      <c t="s">
        <v>5473</v>
      </c>
      <c t="s">
        <v>5097</v>
      </c>
      <c t="s">
        <v>5474</v>
      </c>
    </row>
    <row r="152" spans="1:7" ht="11.25" customHeight="1">
      <c r="A152" t="s">
        <v>16</v>
      </c>
      <c t="s">
        <v>5457</v>
      </c>
      <c t="s">
        <v>5458</v>
      </c>
      <c t="s">
        <v>5475</v>
      </c>
      <c t="s">
        <v>5476</v>
      </c>
      <c t="s">
        <v>5097</v>
      </c>
      <c t="s">
        <v>5477</v>
      </c>
    </row>
    <row r="153" spans="1:7" ht="11.25" customHeight="1">
      <c r="A153" t="s">
        <v>16</v>
      </c>
      <c t="s">
        <v>5457</v>
      </c>
      <c t="s">
        <v>5458</v>
      </c>
      <c t="s">
        <v>5478</v>
      </c>
      <c t="s">
        <v>5479</v>
      </c>
      <c t="s">
        <v>5097</v>
      </c>
      <c t="s">
        <v>5480</v>
      </c>
    </row>
    <row r="154" spans="1:7" ht="11.25" customHeight="1">
      <c r="A154" t="s">
        <v>16</v>
      </c>
      <c t="s">
        <v>5457</v>
      </c>
      <c t="s">
        <v>5458</v>
      </c>
      <c t="s">
        <v>5481</v>
      </c>
      <c t="s">
        <v>5482</v>
      </c>
      <c t="s">
        <v>5097</v>
      </c>
      <c t="s">
        <v>5483</v>
      </c>
    </row>
    <row r="155" spans="1:7" ht="11.25" customHeight="1">
      <c r="A155" t="s">
        <v>16</v>
      </c>
      <c t="s">
        <v>5457</v>
      </c>
      <c t="s">
        <v>5458</v>
      </c>
      <c t="s">
        <v>5484</v>
      </c>
      <c t="s">
        <v>5485</v>
      </c>
      <c t="s">
        <v>5097</v>
      </c>
      <c t="s">
        <v>5486</v>
      </c>
    </row>
    <row r="156" spans="1:7" ht="11.25" customHeight="1">
      <c r="A156" t="s">
        <v>16</v>
      </c>
      <c t="s">
        <v>5457</v>
      </c>
      <c t="s">
        <v>5458</v>
      </c>
      <c t="s">
        <v>5487</v>
      </c>
      <c t="s">
        <v>5488</v>
      </c>
      <c t="s">
        <v>5097</v>
      </c>
      <c t="s">
        <v>5489</v>
      </c>
    </row>
    <row r="157" spans="1:7" ht="11.25" customHeight="1">
      <c r="A157" t="s">
        <v>16</v>
      </c>
      <c t="s">
        <v>5490</v>
      </c>
      <c t="s">
        <v>5491</v>
      </c>
      <c t="s">
        <v>5490</v>
      </c>
      <c t="s">
        <v>5491</v>
      </c>
      <c t="s">
        <v>5088</v>
      </c>
      <c t="s">
        <v>5492</v>
      </c>
    </row>
    <row r="158" spans="1:7" ht="11.25" customHeight="1">
      <c r="A158" t="s">
        <v>16</v>
      </c>
      <c t="s">
        <v>5490</v>
      </c>
      <c t="s">
        <v>5491</v>
      </c>
      <c t="s">
        <v>5493</v>
      </c>
      <c t="s">
        <v>5494</v>
      </c>
      <c t="s">
        <v>5097</v>
      </c>
      <c t="s">
        <v>5495</v>
      </c>
    </row>
    <row r="159" spans="1:7" ht="11.25" customHeight="1">
      <c r="A159" t="s">
        <v>16</v>
      </c>
      <c t="s">
        <v>5490</v>
      </c>
      <c t="s">
        <v>5491</v>
      </c>
      <c t="s">
        <v>5496</v>
      </c>
      <c t="s">
        <v>5497</v>
      </c>
      <c t="s">
        <v>5097</v>
      </c>
      <c t="s">
        <v>5498</v>
      </c>
    </row>
    <row r="160" spans="1:7" ht="11.25" customHeight="1">
      <c r="A160" t="s">
        <v>16</v>
      </c>
      <c t="s">
        <v>5490</v>
      </c>
      <c t="s">
        <v>5491</v>
      </c>
      <c t="s">
        <v>5499</v>
      </c>
      <c t="s">
        <v>5500</v>
      </c>
      <c t="s">
        <v>5097</v>
      </c>
      <c t="s">
        <v>5501</v>
      </c>
    </row>
    <row r="161" spans="1:7" ht="11.25" customHeight="1">
      <c r="A161" t="s">
        <v>16</v>
      </c>
      <c t="s">
        <v>5490</v>
      </c>
      <c t="s">
        <v>5491</v>
      </c>
      <c t="s">
        <v>5502</v>
      </c>
      <c t="s">
        <v>5503</v>
      </c>
      <c t="s">
        <v>5097</v>
      </c>
      <c t="s">
        <v>5504</v>
      </c>
    </row>
    <row r="162" spans="1:7" ht="11.25" customHeight="1">
      <c r="A162" t="s">
        <v>16</v>
      </c>
      <c t="s">
        <v>5490</v>
      </c>
      <c t="s">
        <v>5491</v>
      </c>
      <c t="s">
        <v>5469</v>
      </c>
      <c t="s">
        <v>5505</v>
      </c>
      <c t="s">
        <v>5097</v>
      </c>
      <c t="s">
        <v>5506</v>
      </c>
    </row>
    <row r="163" spans="1:7" ht="11.25" customHeight="1">
      <c r="A163" t="s">
        <v>16</v>
      </c>
      <c t="s">
        <v>5490</v>
      </c>
      <c t="s">
        <v>5491</v>
      </c>
      <c t="s">
        <v>5507</v>
      </c>
      <c t="s">
        <v>5508</v>
      </c>
      <c t="s">
        <v>5097</v>
      </c>
      <c t="s">
        <v>5509</v>
      </c>
    </row>
    <row r="164" spans="1:7" ht="11.25" customHeight="1">
      <c r="A164" t="s">
        <v>16</v>
      </c>
      <c t="s">
        <v>5510</v>
      </c>
      <c t="s">
        <v>5511</v>
      </c>
      <c t="s">
        <v>5512</v>
      </c>
      <c t="s">
        <v>5513</v>
      </c>
      <c t="s">
        <v>5097</v>
      </c>
      <c t="s">
        <v>5514</v>
      </c>
    </row>
    <row r="165" spans="1:7" ht="11.25" customHeight="1">
      <c r="A165" t="s">
        <v>16</v>
      </c>
      <c t="s">
        <v>5510</v>
      </c>
      <c t="s">
        <v>5511</v>
      </c>
      <c t="s">
        <v>5515</v>
      </c>
      <c t="s">
        <v>5516</v>
      </c>
      <c t="s">
        <v>5097</v>
      </c>
      <c t="s">
        <v>5517</v>
      </c>
    </row>
    <row r="166" spans="1:7" ht="11.25" customHeight="1">
      <c r="A166" t="s">
        <v>16</v>
      </c>
      <c t="s">
        <v>5510</v>
      </c>
      <c t="s">
        <v>5511</v>
      </c>
      <c t="s">
        <v>5518</v>
      </c>
      <c t="s">
        <v>5519</v>
      </c>
      <c t="s">
        <v>5097</v>
      </c>
      <c t="s">
        <v>5520</v>
      </c>
    </row>
    <row r="167" spans="1:7" ht="11.25" customHeight="1">
      <c r="A167" t="s">
        <v>16</v>
      </c>
      <c t="s">
        <v>5510</v>
      </c>
      <c t="s">
        <v>5511</v>
      </c>
      <c t="s">
        <v>5521</v>
      </c>
      <c t="s">
        <v>5522</v>
      </c>
      <c t="s">
        <v>5097</v>
      </c>
      <c t="s">
        <v>5523</v>
      </c>
    </row>
    <row r="168" spans="1:7" ht="11.25" customHeight="1">
      <c r="A168" t="s">
        <v>16</v>
      </c>
      <c t="s">
        <v>5510</v>
      </c>
      <c t="s">
        <v>5511</v>
      </c>
      <c t="s">
        <v>5510</v>
      </c>
      <c t="s">
        <v>5511</v>
      </c>
      <c t="s">
        <v>5088</v>
      </c>
      <c t="s">
        <v>5524</v>
      </c>
    </row>
    <row r="169" spans="1:7" ht="11.25" customHeight="1">
      <c r="A169" t="s">
        <v>16</v>
      </c>
      <c t="s">
        <v>5510</v>
      </c>
      <c t="s">
        <v>5511</v>
      </c>
      <c t="s">
        <v>5525</v>
      </c>
      <c t="s">
        <v>5526</v>
      </c>
      <c t="s">
        <v>5091</v>
      </c>
      <c t="s">
        <v>5527</v>
      </c>
    </row>
    <row r="170" spans="1:7" ht="11.25" customHeight="1">
      <c r="A170" t="s">
        <v>16</v>
      </c>
      <c t="s">
        <v>5510</v>
      </c>
      <c t="s">
        <v>5511</v>
      </c>
      <c t="s">
        <v>5528</v>
      </c>
      <c t="s">
        <v>5529</v>
      </c>
      <c t="s">
        <v>5097</v>
      </c>
      <c t="s">
        <v>5530</v>
      </c>
    </row>
    <row r="171" spans="1:7" ht="11.25" customHeight="1">
      <c r="A171" t="s">
        <v>16</v>
      </c>
      <c t="s">
        <v>5510</v>
      </c>
      <c t="s">
        <v>5511</v>
      </c>
      <c t="s">
        <v>5531</v>
      </c>
      <c t="s">
        <v>5532</v>
      </c>
      <c t="s">
        <v>5097</v>
      </c>
      <c t="s">
        <v>5533</v>
      </c>
    </row>
    <row r="172" spans="1:7" ht="11.25" customHeight="1">
      <c r="A172" t="s">
        <v>16</v>
      </c>
      <c t="s">
        <v>5510</v>
      </c>
      <c t="s">
        <v>5511</v>
      </c>
      <c t="s">
        <v>5534</v>
      </c>
      <c t="s">
        <v>5535</v>
      </c>
      <c t="s">
        <v>5097</v>
      </c>
      <c t="s">
        <v>5536</v>
      </c>
    </row>
    <row r="173" spans="1:7" ht="11.25" customHeight="1">
      <c r="A173" t="s">
        <v>16</v>
      </c>
      <c t="s">
        <v>5510</v>
      </c>
      <c t="s">
        <v>5511</v>
      </c>
      <c t="s">
        <v>5537</v>
      </c>
      <c t="s">
        <v>5538</v>
      </c>
      <c t="s">
        <v>5097</v>
      </c>
      <c t="s">
        <v>5539</v>
      </c>
    </row>
    <row r="174" spans="1:7" ht="11.25" customHeight="1">
      <c r="A174" t="s">
        <v>16</v>
      </c>
      <c t="s">
        <v>5510</v>
      </c>
      <c t="s">
        <v>5511</v>
      </c>
      <c t="s">
        <v>5540</v>
      </c>
      <c t="s">
        <v>5541</v>
      </c>
      <c t="s">
        <v>5097</v>
      </c>
      <c t="s">
        <v>5542</v>
      </c>
    </row>
    <row r="175" spans="1:7" ht="11.25" customHeight="1">
      <c r="A175" t="s">
        <v>16</v>
      </c>
      <c t="s">
        <v>5510</v>
      </c>
      <c t="s">
        <v>5511</v>
      </c>
      <c t="s">
        <v>5543</v>
      </c>
      <c t="s">
        <v>5544</v>
      </c>
      <c t="s">
        <v>5097</v>
      </c>
      <c t="s">
        <v>5545</v>
      </c>
    </row>
    <row r="176" spans="1:7" ht="11.25" customHeight="1">
      <c r="A176" t="s">
        <v>16</v>
      </c>
      <c t="s">
        <v>5546</v>
      </c>
      <c t="s">
        <v>5547</v>
      </c>
      <c t="s">
        <v>5548</v>
      </c>
      <c t="s">
        <v>5549</v>
      </c>
      <c t="s">
        <v>5097</v>
      </c>
      <c t="s">
        <v>5550</v>
      </c>
    </row>
    <row r="177" spans="1:7" ht="11.25" customHeight="1">
      <c r="A177" t="s">
        <v>16</v>
      </c>
      <c t="s">
        <v>5546</v>
      </c>
      <c t="s">
        <v>5547</v>
      </c>
      <c t="s">
        <v>5551</v>
      </c>
      <c t="s">
        <v>5552</v>
      </c>
      <c t="s">
        <v>5097</v>
      </c>
      <c t="s">
        <v>5553</v>
      </c>
    </row>
    <row r="178" spans="1:7" ht="11.25" customHeight="1">
      <c r="A178" t="s">
        <v>16</v>
      </c>
      <c t="s">
        <v>5546</v>
      </c>
      <c t="s">
        <v>5547</v>
      </c>
      <c t="s">
        <v>5554</v>
      </c>
      <c t="s">
        <v>5555</v>
      </c>
      <c t="s">
        <v>5097</v>
      </c>
      <c t="s">
        <v>5556</v>
      </c>
    </row>
    <row r="179" spans="1:7" ht="11.25" customHeight="1">
      <c r="A179" t="s">
        <v>16</v>
      </c>
      <c t="s">
        <v>5546</v>
      </c>
      <c t="s">
        <v>5547</v>
      </c>
      <c t="s">
        <v>5546</v>
      </c>
      <c t="s">
        <v>5547</v>
      </c>
      <c t="s">
        <v>5088</v>
      </c>
      <c t="s">
        <v>5557</v>
      </c>
    </row>
    <row r="180" spans="1:7" ht="11.25" customHeight="1">
      <c r="A180" t="s">
        <v>16</v>
      </c>
      <c t="s">
        <v>5546</v>
      </c>
      <c t="s">
        <v>5547</v>
      </c>
      <c t="s">
        <v>5558</v>
      </c>
      <c t="s">
        <v>5559</v>
      </c>
      <c t="s">
        <v>5091</v>
      </c>
      <c t="s">
        <v>5560</v>
      </c>
    </row>
    <row r="181" spans="1:7" ht="11.25" customHeight="1">
      <c r="A181" t="s">
        <v>16</v>
      </c>
      <c t="s">
        <v>5546</v>
      </c>
      <c t="s">
        <v>5547</v>
      </c>
      <c t="s">
        <v>5561</v>
      </c>
      <c t="s">
        <v>5562</v>
      </c>
      <c t="s">
        <v>5097</v>
      </c>
      <c t="s">
        <v>5563</v>
      </c>
    </row>
    <row r="182" spans="1:7" ht="11.25" customHeight="1">
      <c r="A182" t="s">
        <v>16</v>
      </c>
      <c t="s">
        <v>5546</v>
      </c>
      <c t="s">
        <v>5547</v>
      </c>
      <c t="s">
        <v>5564</v>
      </c>
      <c t="s">
        <v>5565</v>
      </c>
      <c t="s">
        <v>5097</v>
      </c>
      <c t="s">
        <v>5566</v>
      </c>
    </row>
    <row r="183" spans="1:7" ht="11.25" customHeight="1">
      <c r="A183" t="s">
        <v>16</v>
      </c>
      <c t="s">
        <v>5546</v>
      </c>
      <c t="s">
        <v>5547</v>
      </c>
      <c t="s">
        <v>5469</v>
      </c>
      <c t="s">
        <v>5567</v>
      </c>
      <c t="s">
        <v>5097</v>
      </c>
      <c t="s">
        <v>5568</v>
      </c>
    </row>
    <row r="184" spans="1:7" ht="11.25" customHeight="1">
      <c r="A184" t="s">
        <v>16</v>
      </c>
      <c t="s">
        <v>5546</v>
      </c>
      <c t="s">
        <v>5547</v>
      </c>
      <c t="s">
        <v>5569</v>
      </c>
      <c t="s">
        <v>5570</v>
      </c>
      <c t="s">
        <v>5097</v>
      </c>
      <c t="s">
        <v>5571</v>
      </c>
    </row>
    <row r="185" spans="1:7" ht="11.25" customHeight="1">
      <c r="A185" t="s">
        <v>16</v>
      </c>
      <c t="s">
        <v>5546</v>
      </c>
      <c t="s">
        <v>5547</v>
      </c>
      <c t="s">
        <v>5158</v>
      </c>
      <c t="s">
        <v>5572</v>
      </c>
      <c t="s">
        <v>5097</v>
      </c>
      <c t="s">
        <v>5573</v>
      </c>
    </row>
    <row r="186" spans="1:7" ht="11.25" customHeight="1">
      <c r="A186" t="s">
        <v>16</v>
      </c>
      <c t="s">
        <v>5546</v>
      </c>
      <c t="s">
        <v>5547</v>
      </c>
      <c t="s">
        <v>5574</v>
      </c>
      <c t="s">
        <v>5575</v>
      </c>
      <c t="s">
        <v>5097</v>
      </c>
      <c t="s">
        <v>5576</v>
      </c>
    </row>
    <row r="187" spans="1:7" ht="11.25" customHeight="1">
      <c r="A187" t="s">
        <v>16</v>
      </c>
      <c t="s">
        <v>5577</v>
      </c>
      <c t="s">
        <v>5578</v>
      </c>
      <c t="s">
        <v>5579</v>
      </c>
      <c t="s">
        <v>5580</v>
      </c>
      <c t="s">
        <v>5097</v>
      </c>
      <c t="s">
        <v>5581</v>
      </c>
    </row>
    <row r="188" spans="1:7" ht="11.25" customHeight="1">
      <c r="A188" t="s">
        <v>16</v>
      </c>
      <c t="s">
        <v>5577</v>
      </c>
      <c t="s">
        <v>5578</v>
      </c>
      <c t="s">
        <v>5582</v>
      </c>
      <c t="s">
        <v>5583</v>
      </c>
      <c t="s">
        <v>5097</v>
      </c>
      <c t="s">
        <v>5584</v>
      </c>
    </row>
    <row r="189" spans="1:7" ht="11.25" customHeight="1">
      <c r="A189" t="s">
        <v>16</v>
      </c>
      <c t="s">
        <v>5577</v>
      </c>
      <c t="s">
        <v>5578</v>
      </c>
      <c t="s">
        <v>5585</v>
      </c>
      <c t="s">
        <v>5586</v>
      </c>
      <c t="s">
        <v>5097</v>
      </c>
      <c t="s">
        <v>5587</v>
      </c>
    </row>
    <row r="190" spans="1:7" ht="11.25" customHeight="1">
      <c r="A190" t="s">
        <v>16</v>
      </c>
      <c t="s">
        <v>5577</v>
      </c>
      <c t="s">
        <v>5578</v>
      </c>
      <c t="s">
        <v>5588</v>
      </c>
      <c t="s">
        <v>5589</v>
      </c>
      <c t="s">
        <v>5097</v>
      </c>
      <c t="s">
        <v>5590</v>
      </c>
    </row>
    <row r="191" spans="1:7" ht="11.25" customHeight="1">
      <c r="A191" t="s">
        <v>16</v>
      </c>
      <c t="s">
        <v>5577</v>
      </c>
      <c t="s">
        <v>5578</v>
      </c>
      <c t="s">
        <v>5281</v>
      </c>
      <c t="s">
        <v>5591</v>
      </c>
      <c t="s">
        <v>5097</v>
      </c>
      <c t="s">
        <v>5592</v>
      </c>
    </row>
    <row r="192" spans="1:7" ht="11.25" customHeight="1">
      <c r="A192" t="s">
        <v>16</v>
      </c>
      <c t="s">
        <v>5577</v>
      </c>
      <c t="s">
        <v>5578</v>
      </c>
      <c t="s">
        <v>5577</v>
      </c>
      <c t="s">
        <v>5578</v>
      </c>
      <c t="s">
        <v>5088</v>
      </c>
      <c t="s">
        <v>5593</v>
      </c>
    </row>
    <row r="193" spans="1:7" ht="11.25" customHeight="1">
      <c r="A193" t="s">
        <v>16</v>
      </c>
      <c t="s">
        <v>5577</v>
      </c>
      <c t="s">
        <v>5578</v>
      </c>
      <c t="s">
        <v>5594</v>
      </c>
      <c t="s">
        <v>5595</v>
      </c>
      <c t="s">
        <v>5097</v>
      </c>
      <c t="s">
        <v>5596</v>
      </c>
    </row>
    <row r="194" spans="1:7" ht="11.25" customHeight="1">
      <c r="A194" t="s">
        <v>16</v>
      </c>
      <c t="s">
        <v>5577</v>
      </c>
      <c t="s">
        <v>5578</v>
      </c>
      <c t="s">
        <v>5597</v>
      </c>
      <c t="s">
        <v>5598</v>
      </c>
      <c t="s">
        <v>5097</v>
      </c>
      <c t="s">
        <v>5599</v>
      </c>
    </row>
    <row r="195" spans="1:7" ht="11.25" customHeight="1">
      <c r="A195" t="s">
        <v>16</v>
      </c>
      <c t="s">
        <v>5577</v>
      </c>
      <c t="s">
        <v>5578</v>
      </c>
      <c t="s">
        <v>5154</v>
      </c>
      <c t="s">
        <v>5600</v>
      </c>
      <c t="s">
        <v>5097</v>
      </c>
      <c t="s">
        <v>5601</v>
      </c>
    </row>
    <row r="196" spans="1:7" ht="11.25" customHeight="1">
      <c r="A196" t="s">
        <v>16</v>
      </c>
      <c t="s">
        <v>5577</v>
      </c>
      <c t="s">
        <v>5578</v>
      </c>
      <c t="s">
        <v>5602</v>
      </c>
      <c t="s">
        <v>5603</v>
      </c>
      <c t="s">
        <v>5097</v>
      </c>
      <c t="s">
        <v>5604</v>
      </c>
    </row>
    <row r="197" spans="1:7" ht="11.25" customHeight="1">
      <c r="A197" t="s">
        <v>16</v>
      </c>
      <c t="s">
        <v>5577</v>
      </c>
      <c t="s">
        <v>5578</v>
      </c>
      <c t="s">
        <v>5451</v>
      </c>
      <c t="s">
        <v>5605</v>
      </c>
      <c t="s">
        <v>5097</v>
      </c>
      <c t="s">
        <v>5606</v>
      </c>
    </row>
    <row r="198" spans="1:7" ht="11.25" customHeight="1">
      <c r="A198" t="s">
        <v>16</v>
      </c>
      <c t="s">
        <v>5577</v>
      </c>
      <c t="s">
        <v>5578</v>
      </c>
      <c t="s">
        <v>5607</v>
      </c>
      <c t="s">
        <v>5608</v>
      </c>
      <c t="s">
        <v>5097</v>
      </c>
      <c t="s">
        <v>5609</v>
      </c>
    </row>
    <row r="199" spans="1:7" ht="11.25" customHeight="1">
      <c r="A199" t="s">
        <v>16</v>
      </c>
      <c t="s">
        <v>5577</v>
      </c>
      <c t="s">
        <v>5578</v>
      </c>
      <c t="s">
        <v>5610</v>
      </c>
      <c t="s">
        <v>5611</v>
      </c>
      <c t="s">
        <v>5097</v>
      </c>
      <c t="s">
        <v>5612</v>
      </c>
    </row>
    <row r="200" spans="1:7" ht="11.25" customHeight="1">
      <c r="A200" t="s">
        <v>16</v>
      </c>
      <c t="s">
        <v>5613</v>
      </c>
      <c t="s">
        <v>5614</v>
      </c>
      <c t="s">
        <v>5615</v>
      </c>
      <c t="s">
        <v>5616</v>
      </c>
      <c t="s">
        <v>5097</v>
      </c>
      <c t="s">
        <v>5617</v>
      </c>
    </row>
    <row r="201" spans="1:7" ht="11.25" customHeight="1">
      <c r="A201" t="s">
        <v>16</v>
      </c>
      <c t="s">
        <v>5613</v>
      </c>
      <c t="s">
        <v>5614</v>
      </c>
      <c t="s">
        <v>5618</v>
      </c>
      <c t="s">
        <v>5619</v>
      </c>
      <c t="s">
        <v>5097</v>
      </c>
      <c t="s">
        <v>5620</v>
      </c>
    </row>
    <row r="202" spans="1:7" ht="11.25" customHeight="1">
      <c r="A202" t="s">
        <v>16</v>
      </c>
      <c t="s">
        <v>5613</v>
      </c>
      <c t="s">
        <v>5614</v>
      </c>
      <c t="s">
        <v>5621</v>
      </c>
      <c t="s">
        <v>5622</v>
      </c>
      <c t="s">
        <v>5097</v>
      </c>
      <c t="s">
        <v>5623</v>
      </c>
    </row>
    <row r="203" spans="1:7" ht="11.25" customHeight="1">
      <c r="A203" t="s">
        <v>16</v>
      </c>
      <c t="s">
        <v>5613</v>
      </c>
      <c t="s">
        <v>5614</v>
      </c>
      <c t="s">
        <v>5624</v>
      </c>
      <c t="s">
        <v>5625</v>
      </c>
      <c t="s">
        <v>5097</v>
      </c>
      <c t="s">
        <v>5626</v>
      </c>
    </row>
    <row r="204" spans="1:7" ht="11.25" customHeight="1">
      <c r="A204" t="s">
        <v>16</v>
      </c>
      <c t="s">
        <v>5613</v>
      </c>
      <c t="s">
        <v>5614</v>
      </c>
      <c t="s">
        <v>5627</v>
      </c>
      <c t="s">
        <v>5628</v>
      </c>
      <c t="s">
        <v>5097</v>
      </c>
      <c t="s">
        <v>5629</v>
      </c>
    </row>
    <row r="205" spans="1:7" ht="11.25" customHeight="1">
      <c r="A205" t="s">
        <v>16</v>
      </c>
      <c t="s">
        <v>5613</v>
      </c>
      <c t="s">
        <v>5614</v>
      </c>
      <c t="s">
        <v>5613</v>
      </c>
      <c t="s">
        <v>5614</v>
      </c>
      <c t="s">
        <v>5088</v>
      </c>
      <c t="s">
        <v>5630</v>
      </c>
    </row>
    <row r="206" spans="1:7" ht="11.25" customHeight="1">
      <c r="A206" t="s">
        <v>16</v>
      </c>
      <c t="s">
        <v>5613</v>
      </c>
      <c t="s">
        <v>5614</v>
      </c>
      <c t="s">
        <v>5631</v>
      </c>
      <c t="s">
        <v>5632</v>
      </c>
      <c t="s">
        <v>5091</v>
      </c>
      <c t="s">
        <v>5633</v>
      </c>
    </row>
    <row r="207" spans="1:7" ht="11.25" customHeight="1">
      <c r="A207" t="s">
        <v>16</v>
      </c>
      <c t="s">
        <v>5613</v>
      </c>
      <c t="s">
        <v>5614</v>
      </c>
      <c t="s">
        <v>5634</v>
      </c>
      <c t="s">
        <v>5635</v>
      </c>
      <c t="s">
        <v>5097</v>
      </c>
      <c t="s">
        <v>5636</v>
      </c>
    </row>
    <row r="208" spans="1:7" ht="11.25" customHeight="1">
      <c r="A208" t="s">
        <v>16</v>
      </c>
      <c t="s">
        <v>5613</v>
      </c>
      <c t="s">
        <v>5614</v>
      </c>
      <c t="s">
        <v>5637</v>
      </c>
      <c t="s">
        <v>5638</v>
      </c>
      <c t="s">
        <v>5097</v>
      </c>
      <c t="s">
        <v>5639</v>
      </c>
    </row>
    <row r="209" spans="1:7" ht="11.25" customHeight="1">
      <c r="A209" t="s">
        <v>16</v>
      </c>
      <c t="s">
        <v>5613</v>
      </c>
      <c t="s">
        <v>5614</v>
      </c>
      <c t="s">
        <v>5640</v>
      </c>
      <c t="s">
        <v>5641</v>
      </c>
      <c t="s">
        <v>5097</v>
      </c>
      <c t="s">
        <v>5642</v>
      </c>
    </row>
    <row r="210" spans="1:7" ht="11.25" customHeight="1">
      <c r="A210" t="s">
        <v>16</v>
      </c>
      <c t="s">
        <v>5613</v>
      </c>
      <c t="s">
        <v>5614</v>
      </c>
      <c t="s">
        <v>5643</v>
      </c>
      <c t="s">
        <v>5644</v>
      </c>
      <c t="s">
        <v>5097</v>
      </c>
      <c t="s">
        <v>5645</v>
      </c>
    </row>
    <row r="211" spans="1:7" ht="11.25" customHeight="1">
      <c r="A211" t="s">
        <v>16</v>
      </c>
      <c t="s">
        <v>5613</v>
      </c>
      <c t="s">
        <v>5614</v>
      </c>
      <c t="s">
        <v>5646</v>
      </c>
      <c t="s">
        <v>5647</v>
      </c>
      <c t="s">
        <v>5097</v>
      </c>
      <c t="s">
        <v>5648</v>
      </c>
    </row>
    <row r="212" spans="1:7" ht="11.25" customHeight="1">
      <c r="A212" t="s">
        <v>16</v>
      </c>
      <c t="s">
        <v>5613</v>
      </c>
      <c t="s">
        <v>5614</v>
      </c>
      <c t="s">
        <v>5649</v>
      </c>
      <c t="s">
        <v>5650</v>
      </c>
      <c t="s">
        <v>5097</v>
      </c>
      <c t="s">
        <v>5651</v>
      </c>
    </row>
    <row r="213" spans="1:7" ht="11.25" customHeight="1">
      <c r="A213" t="s">
        <v>16</v>
      </c>
      <c t="s">
        <v>5613</v>
      </c>
      <c t="s">
        <v>5614</v>
      </c>
      <c t="s">
        <v>5652</v>
      </c>
      <c t="s">
        <v>5653</v>
      </c>
      <c t="s">
        <v>5097</v>
      </c>
      <c t="s">
        <v>5654</v>
      </c>
    </row>
    <row r="214" spans="1:7" ht="11.25" customHeight="1">
      <c r="A214" t="s">
        <v>16</v>
      </c>
      <c t="s">
        <v>5655</v>
      </c>
      <c t="s">
        <v>5656</v>
      </c>
      <c t="s">
        <v>5655</v>
      </c>
      <c t="s">
        <v>5656</v>
      </c>
      <c t="s">
        <v>5657</v>
      </c>
      <c t="s">
        <v>5658</v>
      </c>
    </row>
    <row r="215" spans="1:7" ht="11.25" customHeight="1">
      <c r="A215" t="s">
        <v>16</v>
      </c>
      <c t="s">
        <v>5659</v>
      </c>
      <c t="s">
        <v>5660</v>
      </c>
      <c t="s">
        <v>5661</v>
      </c>
      <c t="s">
        <v>5662</v>
      </c>
      <c t="s">
        <v>5097</v>
      </c>
      <c t="s">
        <v>5663</v>
      </c>
    </row>
    <row r="216" spans="1:7" ht="11.25" customHeight="1">
      <c r="A216" t="s">
        <v>16</v>
      </c>
      <c t="s">
        <v>5659</v>
      </c>
      <c t="s">
        <v>5660</v>
      </c>
      <c t="s">
        <v>5664</v>
      </c>
      <c t="s">
        <v>5665</v>
      </c>
      <c t="s">
        <v>5097</v>
      </c>
      <c t="s">
        <v>5666</v>
      </c>
    </row>
    <row r="217" spans="1:7" ht="11.25" customHeight="1">
      <c r="A217" t="s">
        <v>16</v>
      </c>
      <c t="s">
        <v>5659</v>
      </c>
      <c t="s">
        <v>5660</v>
      </c>
      <c t="s">
        <v>5667</v>
      </c>
      <c t="s">
        <v>5668</v>
      </c>
      <c t="s">
        <v>5097</v>
      </c>
      <c t="s">
        <v>5669</v>
      </c>
    </row>
    <row r="218" spans="1:7" ht="11.25" customHeight="1">
      <c r="A218" t="s">
        <v>16</v>
      </c>
      <c t="s">
        <v>5659</v>
      </c>
      <c t="s">
        <v>5660</v>
      </c>
      <c t="s">
        <v>5670</v>
      </c>
      <c t="s">
        <v>5671</v>
      </c>
      <c t="s">
        <v>5097</v>
      </c>
      <c t="s">
        <v>5672</v>
      </c>
    </row>
    <row r="219" spans="1:7" ht="11.25" customHeight="1">
      <c r="A219" t="s">
        <v>16</v>
      </c>
      <c t="s">
        <v>5659</v>
      </c>
      <c t="s">
        <v>5660</v>
      </c>
      <c t="s">
        <v>5493</v>
      </c>
      <c t="s">
        <v>5673</v>
      </c>
      <c t="s">
        <v>5097</v>
      </c>
      <c t="s">
        <v>5674</v>
      </c>
    </row>
    <row r="220" spans="1:7" ht="11.25" customHeight="1">
      <c r="A220" t="s">
        <v>16</v>
      </c>
      <c t="s">
        <v>5659</v>
      </c>
      <c t="s">
        <v>5660</v>
      </c>
      <c t="s">
        <v>5675</v>
      </c>
      <c t="s">
        <v>5676</v>
      </c>
      <c t="s">
        <v>5097</v>
      </c>
      <c t="s">
        <v>5677</v>
      </c>
    </row>
    <row r="221" spans="1:7" ht="11.25" customHeight="1">
      <c r="A221" t="s">
        <v>16</v>
      </c>
      <c t="s">
        <v>5659</v>
      </c>
      <c t="s">
        <v>5660</v>
      </c>
      <c t="s">
        <v>5659</v>
      </c>
      <c t="s">
        <v>5660</v>
      </c>
      <c t="s">
        <v>5088</v>
      </c>
      <c t="s">
        <v>5678</v>
      </c>
    </row>
    <row r="222" spans="1:7" ht="11.25" customHeight="1">
      <c r="A222" t="s">
        <v>16</v>
      </c>
      <c t="s">
        <v>5659</v>
      </c>
      <c t="s">
        <v>5660</v>
      </c>
      <c t="s">
        <v>5679</v>
      </c>
      <c t="s">
        <v>5680</v>
      </c>
      <c t="s">
        <v>5097</v>
      </c>
      <c t="s">
        <v>5681</v>
      </c>
    </row>
    <row r="223" spans="1:7" ht="11.25" customHeight="1">
      <c r="A223" t="s">
        <v>16</v>
      </c>
      <c t="s">
        <v>5659</v>
      </c>
      <c t="s">
        <v>5660</v>
      </c>
      <c t="s">
        <v>5682</v>
      </c>
      <c t="s">
        <v>5683</v>
      </c>
      <c t="s">
        <v>5097</v>
      </c>
      <c t="s">
        <v>5684</v>
      </c>
    </row>
    <row r="224" spans="1:7" ht="11.25" customHeight="1">
      <c r="A224" t="s">
        <v>16</v>
      </c>
      <c t="s">
        <v>5659</v>
      </c>
      <c t="s">
        <v>5660</v>
      </c>
      <c t="s">
        <v>5685</v>
      </c>
      <c t="s">
        <v>5686</v>
      </c>
      <c t="s">
        <v>5097</v>
      </c>
      <c t="s">
        <v>5687</v>
      </c>
    </row>
    <row r="225" spans="1:7" ht="11.25" customHeight="1">
      <c r="A225" t="s">
        <v>16</v>
      </c>
      <c t="s">
        <v>5659</v>
      </c>
      <c t="s">
        <v>5660</v>
      </c>
      <c t="s">
        <v>5688</v>
      </c>
      <c t="s">
        <v>5689</v>
      </c>
      <c t="s">
        <v>5097</v>
      </c>
      <c t="s">
        <v>5690</v>
      </c>
    </row>
    <row r="226" spans="1:7" ht="11.25" customHeight="1">
      <c r="A226" t="s">
        <v>16</v>
      </c>
      <c t="s">
        <v>5659</v>
      </c>
      <c t="s">
        <v>5660</v>
      </c>
      <c t="s">
        <v>5154</v>
      </c>
      <c t="s">
        <v>5691</v>
      </c>
      <c t="s">
        <v>5097</v>
      </c>
      <c t="s">
        <v>5692</v>
      </c>
    </row>
    <row r="227" spans="1:7" ht="11.25" customHeight="1">
      <c r="A227" t="s">
        <v>16</v>
      </c>
      <c t="s">
        <v>5659</v>
      </c>
      <c t="s">
        <v>5660</v>
      </c>
      <c t="s">
        <v>5693</v>
      </c>
      <c t="s">
        <v>5694</v>
      </c>
      <c t="s">
        <v>5097</v>
      </c>
      <c t="s">
        <v>5695</v>
      </c>
    </row>
    <row r="228" spans="1:7" ht="11.25" customHeight="1">
      <c r="A228" t="s">
        <v>16</v>
      </c>
      <c t="s">
        <v>5696</v>
      </c>
      <c t="s">
        <v>5697</v>
      </c>
      <c t="s">
        <v>5698</v>
      </c>
      <c t="s">
        <v>5699</v>
      </c>
      <c t="s">
        <v>5097</v>
      </c>
      <c t="s">
        <v>5700</v>
      </c>
    </row>
    <row r="229" spans="1:7" ht="11.25" customHeight="1">
      <c r="A229" t="s">
        <v>16</v>
      </c>
      <c t="s">
        <v>5696</v>
      </c>
      <c t="s">
        <v>5697</v>
      </c>
      <c t="s">
        <v>5701</v>
      </c>
      <c t="s">
        <v>5702</v>
      </c>
      <c t="s">
        <v>5097</v>
      </c>
      <c t="s">
        <v>5703</v>
      </c>
    </row>
    <row r="230" spans="1:7" ht="11.25" customHeight="1">
      <c r="A230" t="s">
        <v>16</v>
      </c>
      <c t="s">
        <v>5696</v>
      </c>
      <c t="s">
        <v>5697</v>
      </c>
      <c t="s">
        <v>5704</v>
      </c>
      <c t="s">
        <v>5705</v>
      </c>
      <c t="s">
        <v>5097</v>
      </c>
      <c t="s">
        <v>5706</v>
      </c>
    </row>
    <row r="231" spans="1:7" ht="11.25" customHeight="1">
      <c r="A231" t="s">
        <v>16</v>
      </c>
      <c t="s">
        <v>5696</v>
      </c>
      <c t="s">
        <v>5697</v>
      </c>
      <c t="s">
        <v>5707</v>
      </c>
      <c t="s">
        <v>5708</v>
      </c>
      <c t="s">
        <v>5097</v>
      </c>
      <c t="s">
        <v>5709</v>
      </c>
    </row>
    <row r="232" spans="1:7" ht="11.25" customHeight="1">
      <c r="A232" t="s">
        <v>16</v>
      </c>
      <c t="s">
        <v>5696</v>
      </c>
      <c t="s">
        <v>5697</v>
      </c>
      <c t="s">
        <v>5710</v>
      </c>
      <c t="s">
        <v>5711</v>
      </c>
      <c t="s">
        <v>5097</v>
      </c>
      <c t="s">
        <v>5712</v>
      </c>
    </row>
    <row r="233" spans="1:7" ht="11.25" customHeight="1">
      <c r="A233" t="s">
        <v>16</v>
      </c>
      <c t="s">
        <v>5696</v>
      </c>
      <c t="s">
        <v>5697</v>
      </c>
      <c t="s">
        <v>5713</v>
      </c>
      <c t="s">
        <v>5714</v>
      </c>
      <c t="s">
        <v>5097</v>
      </c>
      <c t="s">
        <v>5715</v>
      </c>
    </row>
    <row r="234" spans="1:7" ht="11.25" customHeight="1">
      <c r="A234" t="s">
        <v>16</v>
      </c>
      <c t="s">
        <v>5696</v>
      </c>
      <c t="s">
        <v>5697</v>
      </c>
      <c t="s">
        <v>5716</v>
      </c>
      <c t="s">
        <v>5717</v>
      </c>
      <c t="s">
        <v>5097</v>
      </c>
      <c t="s">
        <v>5718</v>
      </c>
    </row>
    <row r="235" spans="1:7" ht="11.25" customHeight="1">
      <c r="A235" t="s">
        <v>16</v>
      </c>
      <c t="s">
        <v>5696</v>
      </c>
      <c t="s">
        <v>5697</v>
      </c>
      <c t="s">
        <v>5719</v>
      </c>
      <c t="s">
        <v>5720</v>
      </c>
      <c t="s">
        <v>5097</v>
      </c>
      <c t="s">
        <v>5721</v>
      </c>
    </row>
    <row r="236" spans="1:7" ht="11.25" customHeight="1">
      <c r="A236" t="s">
        <v>16</v>
      </c>
      <c t="s">
        <v>5696</v>
      </c>
      <c t="s">
        <v>5697</v>
      </c>
      <c t="s">
        <v>5696</v>
      </c>
      <c t="s">
        <v>5697</v>
      </c>
      <c t="s">
        <v>5088</v>
      </c>
      <c t="s">
        <v>5722</v>
      </c>
    </row>
    <row r="237" spans="1:7" ht="11.25" customHeight="1">
      <c r="A237" t="s">
        <v>16</v>
      </c>
      <c t="s">
        <v>5696</v>
      </c>
      <c t="s">
        <v>5697</v>
      </c>
      <c t="s">
        <v>5723</v>
      </c>
      <c t="s">
        <v>5724</v>
      </c>
      <c t="s">
        <v>5094</v>
      </c>
      <c t="s">
        <v>5725</v>
      </c>
    </row>
    <row r="238" spans="1:7" ht="11.25" customHeight="1">
      <c r="A238" t="s">
        <v>16</v>
      </c>
      <c t="s">
        <v>5696</v>
      </c>
      <c t="s">
        <v>5697</v>
      </c>
      <c t="s">
        <v>5726</v>
      </c>
      <c t="s">
        <v>5727</v>
      </c>
      <c t="s">
        <v>5097</v>
      </c>
      <c t="s">
        <v>5728</v>
      </c>
    </row>
    <row r="239" spans="1:7" ht="11.25" customHeight="1">
      <c r="A239" t="s">
        <v>16</v>
      </c>
      <c t="s">
        <v>5696</v>
      </c>
      <c t="s">
        <v>5697</v>
      </c>
      <c t="s">
        <v>5729</v>
      </c>
      <c t="s">
        <v>5730</v>
      </c>
      <c t="s">
        <v>5094</v>
      </c>
      <c t="s">
        <v>5731</v>
      </c>
    </row>
    <row r="240" spans="1:7" ht="11.25" customHeight="1">
      <c r="A240" t="s">
        <v>16</v>
      </c>
      <c t="s">
        <v>5696</v>
      </c>
      <c t="s">
        <v>5697</v>
      </c>
      <c t="s">
        <v>5732</v>
      </c>
      <c t="s">
        <v>5733</v>
      </c>
      <c t="s">
        <v>5097</v>
      </c>
      <c t="s">
        <v>5734</v>
      </c>
    </row>
    <row r="241" spans="1:7" ht="11.25" customHeight="1">
      <c r="A241" t="s">
        <v>16</v>
      </c>
      <c t="s">
        <v>5696</v>
      </c>
      <c t="s">
        <v>5697</v>
      </c>
      <c t="s">
        <v>5735</v>
      </c>
      <c t="s">
        <v>5736</v>
      </c>
      <c t="s">
        <v>5097</v>
      </c>
      <c t="s">
        <v>5737</v>
      </c>
    </row>
    <row r="242" spans="1:7" ht="11.25" customHeight="1">
      <c r="A242" t="s">
        <v>16</v>
      </c>
      <c t="s">
        <v>5696</v>
      </c>
      <c t="s">
        <v>5697</v>
      </c>
      <c t="s">
        <v>5738</v>
      </c>
      <c t="s">
        <v>5739</v>
      </c>
      <c t="s">
        <v>5097</v>
      </c>
      <c t="s">
        <v>5740</v>
      </c>
    </row>
    <row r="243" spans="1:7" ht="11.25" customHeight="1">
      <c r="A243" t="s">
        <v>16</v>
      </c>
      <c t="s">
        <v>5741</v>
      </c>
      <c t="s">
        <v>5742</v>
      </c>
      <c t="s">
        <v>5741</v>
      </c>
      <c t="s">
        <v>5742</v>
      </c>
      <c t="s">
        <v>5657</v>
      </c>
      <c t="s">
        <v>5743</v>
      </c>
    </row>
    <row r="244" spans="1:7" ht="11.25" customHeight="1">
      <c r="A244" t="s">
        <v>16</v>
      </c>
      <c t="s">
        <v>5744</v>
      </c>
      <c t="s">
        <v>5745</v>
      </c>
      <c t="s">
        <v>5744</v>
      </c>
      <c t="s">
        <v>5745</v>
      </c>
      <c t="s">
        <v>5657</v>
      </c>
      <c t="s">
        <v>5746</v>
      </c>
    </row>
    <row r="245" spans="1:7" ht="11.25" customHeight="1">
      <c r="A245" t="s">
        <v>16</v>
      </c>
      <c t="s">
        <v>5747</v>
      </c>
      <c t="s">
        <v>5748</v>
      </c>
      <c t="s">
        <v>5749</v>
      </c>
      <c t="s">
        <v>5750</v>
      </c>
      <c t="s">
        <v>5097</v>
      </c>
      <c t="s">
        <v>5751</v>
      </c>
    </row>
    <row r="246" spans="1:7" ht="11.25" customHeight="1">
      <c r="A246" t="s">
        <v>16</v>
      </c>
      <c t="s">
        <v>5747</v>
      </c>
      <c t="s">
        <v>5748</v>
      </c>
      <c t="s">
        <v>5752</v>
      </c>
      <c t="s">
        <v>5753</v>
      </c>
      <c t="s">
        <v>5097</v>
      </c>
      <c t="s">
        <v>5754</v>
      </c>
    </row>
    <row r="247" spans="1:7" ht="11.25" customHeight="1">
      <c r="A247" t="s">
        <v>16</v>
      </c>
      <c t="s">
        <v>5747</v>
      </c>
      <c t="s">
        <v>5748</v>
      </c>
      <c t="s">
        <v>5755</v>
      </c>
      <c t="s">
        <v>5756</v>
      </c>
      <c t="s">
        <v>5097</v>
      </c>
      <c t="s">
        <v>5757</v>
      </c>
    </row>
    <row r="248" spans="1:7" ht="11.25" customHeight="1">
      <c r="A248" t="s">
        <v>16</v>
      </c>
      <c t="s">
        <v>5747</v>
      </c>
      <c t="s">
        <v>5748</v>
      </c>
      <c t="s">
        <v>5758</v>
      </c>
      <c t="s">
        <v>5759</v>
      </c>
      <c t="s">
        <v>5097</v>
      </c>
      <c t="s">
        <v>5760</v>
      </c>
    </row>
    <row r="249" spans="1:7" ht="11.25" customHeight="1">
      <c r="A249" t="s">
        <v>16</v>
      </c>
      <c t="s">
        <v>5747</v>
      </c>
      <c t="s">
        <v>5748</v>
      </c>
      <c t="s">
        <v>5747</v>
      </c>
      <c t="s">
        <v>5748</v>
      </c>
      <c t="s">
        <v>5088</v>
      </c>
      <c t="s">
        <v>5761</v>
      </c>
    </row>
    <row r="250" spans="1:7" ht="11.25" customHeight="1">
      <c r="A250" t="s">
        <v>16</v>
      </c>
      <c t="s">
        <v>5747</v>
      </c>
      <c t="s">
        <v>5748</v>
      </c>
      <c t="s">
        <v>5762</v>
      </c>
      <c t="s">
        <v>5763</v>
      </c>
      <c t="s">
        <v>5091</v>
      </c>
      <c t="s">
        <v>5764</v>
      </c>
    </row>
    <row r="251" spans="1:7" ht="11.25" customHeight="1">
      <c r="A251" t="s">
        <v>16</v>
      </c>
      <c t="s">
        <v>5747</v>
      </c>
      <c t="s">
        <v>5748</v>
      </c>
      <c t="s">
        <v>5177</v>
      </c>
      <c t="s">
        <v>5765</v>
      </c>
      <c t="s">
        <v>5097</v>
      </c>
      <c t="s">
        <v>5766</v>
      </c>
    </row>
    <row r="252" spans="1:7" ht="11.25" customHeight="1">
      <c r="A252" t="s">
        <v>16</v>
      </c>
      <c t="s">
        <v>5747</v>
      </c>
      <c t="s">
        <v>5748</v>
      </c>
      <c t="s">
        <v>5767</v>
      </c>
      <c t="s">
        <v>5768</v>
      </c>
      <c t="s">
        <v>5097</v>
      </c>
      <c t="s">
        <v>5769</v>
      </c>
    </row>
    <row r="253" spans="1:7" ht="11.25" customHeight="1">
      <c r="A253" t="s">
        <v>16</v>
      </c>
      <c t="s">
        <v>5747</v>
      </c>
      <c t="s">
        <v>5748</v>
      </c>
      <c t="s">
        <v>5770</v>
      </c>
      <c t="s">
        <v>5771</v>
      </c>
      <c t="s">
        <v>5097</v>
      </c>
      <c t="s">
        <v>5772</v>
      </c>
    </row>
    <row r="254" spans="1:7" ht="11.25" customHeight="1">
      <c r="A254" t="s">
        <v>16</v>
      </c>
      <c t="s">
        <v>5747</v>
      </c>
      <c t="s">
        <v>5748</v>
      </c>
      <c t="s">
        <v>5773</v>
      </c>
      <c t="s">
        <v>5774</v>
      </c>
      <c t="s">
        <v>5097</v>
      </c>
      <c t="s">
        <v>5775</v>
      </c>
    </row>
    <row r="255" spans="1:7" ht="11.25" customHeight="1">
      <c r="A255" t="s">
        <v>16</v>
      </c>
      <c t="s">
        <v>5776</v>
      </c>
      <c t="s">
        <v>5777</v>
      </c>
      <c t="s">
        <v>5778</v>
      </c>
      <c t="s">
        <v>5779</v>
      </c>
      <c t="s">
        <v>5097</v>
      </c>
      <c t="s">
        <v>5780</v>
      </c>
    </row>
    <row r="256" spans="1:7" ht="11.25" customHeight="1">
      <c r="A256" t="s">
        <v>16</v>
      </c>
      <c t="s">
        <v>5776</v>
      </c>
      <c t="s">
        <v>5777</v>
      </c>
      <c t="s">
        <v>5582</v>
      </c>
      <c t="s">
        <v>5781</v>
      </c>
      <c t="s">
        <v>5097</v>
      </c>
      <c t="s">
        <v>5782</v>
      </c>
    </row>
    <row r="257" spans="1:7" ht="11.25" customHeight="1">
      <c r="A257" t="s">
        <v>16</v>
      </c>
      <c t="s">
        <v>5776</v>
      </c>
      <c t="s">
        <v>5777</v>
      </c>
      <c t="s">
        <v>5783</v>
      </c>
      <c t="s">
        <v>5784</v>
      </c>
      <c t="s">
        <v>5097</v>
      </c>
      <c t="s">
        <v>5785</v>
      </c>
    </row>
    <row r="258" spans="1:7" ht="11.25" customHeight="1">
      <c r="A258" t="s">
        <v>16</v>
      </c>
      <c t="s">
        <v>5776</v>
      </c>
      <c t="s">
        <v>5777</v>
      </c>
      <c t="s">
        <v>5114</v>
      </c>
      <c t="s">
        <v>5786</v>
      </c>
      <c t="s">
        <v>5097</v>
      </c>
      <c t="s">
        <v>5787</v>
      </c>
    </row>
    <row r="259" spans="1:7" ht="11.25" customHeight="1">
      <c r="A259" t="s">
        <v>16</v>
      </c>
      <c t="s">
        <v>5776</v>
      </c>
      <c t="s">
        <v>5777</v>
      </c>
      <c t="s">
        <v>5788</v>
      </c>
      <c t="s">
        <v>5789</v>
      </c>
      <c t="s">
        <v>5097</v>
      </c>
      <c t="s">
        <v>5790</v>
      </c>
    </row>
    <row r="260" spans="1:7" ht="11.25" customHeight="1">
      <c r="A260" t="s">
        <v>16</v>
      </c>
      <c t="s">
        <v>5776</v>
      </c>
      <c t="s">
        <v>5777</v>
      </c>
      <c t="s">
        <v>5791</v>
      </c>
      <c t="s">
        <v>5792</v>
      </c>
      <c t="s">
        <v>5097</v>
      </c>
      <c t="s">
        <v>5793</v>
      </c>
    </row>
    <row r="261" spans="1:7" ht="11.25" customHeight="1">
      <c r="A261" t="s">
        <v>16</v>
      </c>
      <c t="s">
        <v>5776</v>
      </c>
      <c t="s">
        <v>5777</v>
      </c>
      <c t="s">
        <v>5776</v>
      </c>
      <c t="s">
        <v>5777</v>
      </c>
      <c t="s">
        <v>5088</v>
      </c>
      <c t="s">
        <v>5794</v>
      </c>
    </row>
    <row r="262" spans="1:7" ht="11.25" customHeight="1">
      <c r="A262" t="s">
        <v>16</v>
      </c>
      <c t="s">
        <v>5776</v>
      </c>
      <c t="s">
        <v>5777</v>
      </c>
      <c t="s">
        <v>5795</v>
      </c>
      <c t="s">
        <v>5796</v>
      </c>
      <c t="s">
        <v>5097</v>
      </c>
      <c t="s">
        <v>5797</v>
      </c>
    </row>
    <row r="263" spans="1:7" ht="11.25" customHeight="1">
      <c r="A263" t="s">
        <v>16</v>
      </c>
      <c t="s">
        <v>5776</v>
      </c>
      <c t="s">
        <v>5777</v>
      </c>
      <c t="s">
        <v>5798</v>
      </c>
      <c t="s">
        <v>5799</v>
      </c>
      <c t="s">
        <v>5097</v>
      </c>
      <c t="s">
        <v>5800</v>
      </c>
    </row>
    <row r="264" spans="1:7" ht="11.25" customHeight="1">
      <c r="A264" t="s">
        <v>16</v>
      </c>
      <c t="s">
        <v>5801</v>
      </c>
      <c t="s">
        <v>5802</v>
      </c>
      <c t="s">
        <v>5803</v>
      </c>
      <c t="s">
        <v>5804</v>
      </c>
      <c t="s">
        <v>5097</v>
      </c>
      <c t="s">
        <v>5805</v>
      </c>
    </row>
    <row r="265" spans="1:7" ht="11.25" customHeight="1">
      <c r="A265" t="s">
        <v>16</v>
      </c>
      <c t="s">
        <v>5801</v>
      </c>
      <c t="s">
        <v>5802</v>
      </c>
      <c t="s">
        <v>5806</v>
      </c>
      <c t="s">
        <v>5807</v>
      </c>
      <c t="s">
        <v>5097</v>
      </c>
      <c t="s">
        <v>5808</v>
      </c>
    </row>
    <row r="266" spans="1:7" ht="11.25" customHeight="1">
      <c r="A266" t="s">
        <v>16</v>
      </c>
      <c t="s">
        <v>5801</v>
      </c>
      <c t="s">
        <v>5802</v>
      </c>
      <c t="s">
        <v>5400</v>
      </c>
      <c t="s">
        <v>5809</v>
      </c>
      <c t="s">
        <v>5097</v>
      </c>
      <c t="s">
        <v>5810</v>
      </c>
    </row>
    <row r="267" spans="1:7" ht="11.25" customHeight="1">
      <c r="A267" t="s">
        <v>16</v>
      </c>
      <c t="s">
        <v>5801</v>
      </c>
      <c t="s">
        <v>5802</v>
      </c>
      <c t="s">
        <v>5811</v>
      </c>
      <c t="s">
        <v>5812</v>
      </c>
      <c t="s">
        <v>5097</v>
      </c>
      <c t="s">
        <v>5813</v>
      </c>
    </row>
    <row r="268" spans="1:7" ht="11.25" customHeight="1">
      <c r="A268" t="s">
        <v>16</v>
      </c>
      <c t="s">
        <v>5801</v>
      </c>
      <c t="s">
        <v>5802</v>
      </c>
      <c t="s">
        <v>5814</v>
      </c>
      <c t="s">
        <v>5815</v>
      </c>
      <c t="s">
        <v>5097</v>
      </c>
      <c t="s">
        <v>5816</v>
      </c>
    </row>
    <row r="269" spans="1:7" ht="11.25" customHeight="1">
      <c r="A269" t="s">
        <v>16</v>
      </c>
      <c t="s">
        <v>5801</v>
      </c>
      <c t="s">
        <v>5802</v>
      </c>
      <c t="s">
        <v>5817</v>
      </c>
      <c t="s">
        <v>5818</v>
      </c>
      <c t="s">
        <v>5097</v>
      </c>
      <c t="s">
        <v>5819</v>
      </c>
    </row>
    <row r="270" spans="1:7" ht="11.25" customHeight="1">
      <c r="A270" t="s">
        <v>16</v>
      </c>
      <c t="s">
        <v>5801</v>
      </c>
      <c t="s">
        <v>5802</v>
      </c>
      <c t="s">
        <v>5801</v>
      </c>
      <c t="s">
        <v>5802</v>
      </c>
      <c t="s">
        <v>5088</v>
      </c>
      <c t="s">
        <v>5820</v>
      </c>
    </row>
    <row r="271" spans="1:7" ht="11.25" customHeight="1">
      <c r="A271" t="s">
        <v>16</v>
      </c>
      <c t="s">
        <v>5801</v>
      </c>
      <c t="s">
        <v>5802</v>
      </c>
      <c t="s">
        <v>5821</v>
      </c>
      <c t="s">
        <v>5822</v>
      </c>
      <c t="s">
        <v>5097</v>
      </c>
      <c t="s">
        <v>5823</v>
      </c>
    </row>
    <row r="272" spans="1:7" ht="11.25" customHeight="1">
      <c r="A272" t="s">
        <v>16</v>
      </c>
      <c t="s">
        <v>5801</v>
      </c>
      <c t="s">
        <v>5802</v>
      </c>
      <c t="s">
        <v>5824</v>
      </c>
      <c t="s">
        <v>5825</v>
      </c>
      <c t="s">
        <v>5097</v>
      </c>
      <c t="s">
        <v>5826</v>
      </c>
    </row>
    <row r="273" spans="1:7" ht="11.25" customHeight="1">
      <c r="A273" t="s">
        <v>16</v>
      </c>
      <c t="s">
        <v>5801</v>
      </c>
      <c t="s">
        <v>5802</v>
      </c>
      <c t="s">
        <v>5827</v>
      </c>
      <c t="s">
        <v>5828</v>
      </c>
      <c t="s">
        <v>5097</v>
      </c>
      <c t="s">
        <v>5829</v>
      </c>
    </row>
    <row r="274" spans="1:7" ht="11.25" customHeight="1">
      <c r="A274" t="s">
        <v>16</v>
      </c>
      <c t="s">
        <v>5801</v>
      </c>
      <c t="s">
        <v>5802</v>
      </c>
      <c t="s">
        <v>5830</v>
      </c>
      <c t="s">
        <v>5831</v>
      </c>
      <c t="s">
        <v>5097</v>
      </c>
      <c t="s">
        <v>5832</v>
      </c>
    </row>
    <row r="275" spans="1:7" ht="11.25" customHeight="1">
      <c r="A275" t="s">
        <v>16</v>
      </c>
      <c t="s">
        <v>5801</v>
      </c>
      <c t="s">
        <v>5802</v>
      </c>
      <c t="s">
        <v>5833</v>
      </c>
      <c t="s">
        <v>5834</v>
      </c>
      <c t="s">
        <v>5097</v>
      </c>
      <c t="s">
        <v>5835</v>
      </c>
    </row>
    <row r="276" spans="1:7" ht="11.25" customHeight="1">
      <c r="A276" t="s">
        <v>16</v>
      </c>
      <c t="s">
        <v>5801</v>
      </c>
      <c t="s">
        <v>5802</v>
      </c>
      <c t="s">
        <v>5836</v>
      </c>
      <c t="s">
        <v>5837</v>
      </c>
      <c t="s">
        <v>5097</v>
      </c>
      <c t="s">
        <v>5838</v>
      </c>
    </row>
    <row r="277" spans="1:7" ht="11.25" customHeight="1">
      <c r="A277" t="s">
        <v>16</v>
      </c>
      <c t="s">
        <v>5801</v>
      </c>
      <c t="s">
        <v>5802</v>
      </c>
      <c t="s">
        <v>5839</v>
      </c>
      <c t="s">
        <v>5840</v>
      </c>
      <c t="s">
        <v>5097</v>
      </c>
      <c t="s">
        <v>5841</v>
      </c>
    </row>
    <row r="278" spans="1:7" ht="11.25" customHeight="1">
      <c r="A278" t="s">
        <v>16</v>
      </c>
      <c t="s">
        <v>5801</v>
      </c>
      <c t="s">
        <v>5802</v>
      </c>
      <c t="s">
        <v>5842</v>
      </c>
      <c t="s">
        <v>5843</v>
      </c>
      <c t="s">
        <v>5097</v>
      </c>
      <c t="s">
        <v>5844</v>
      </c>
    </row>
    <row r="279" spans="1:7" ht="11.25" customHeight="1">
      <c r="A279" t="s">
        <v>16</v>
      </c>
      <c t="s">
        <v>5845</v>
      </c>
      <c t="s">
        <v>5846</v>
      </c>
      <c t="s">
        <v>5847</v>
      </c>
      <c t="s">
        <v>5848</v>
      </c>
      <c t="s">
        <v>5097</v>
      </c>
      <c t="s">
        <v>5849</v>
      </c>
    </row>
    <row r="280" spans="1:7" ht="11.25" customHeight="1">
      <c r="A280" t="s">
        <v>16</v>
      </c>
      <c t="s">
        <v>5845</v>
      </c>
      <c t="s">
        <v>5846</v>
      </c>
      <c t="s">
        <v>5850</v>
      </c>
      <c t="s">
        <v>5851</v>
      </c>
      <c t="s">
        <v>5097</v>
      </c>
      <c t="s">
        <v>5852</v>
      </c>
    </row>
    <row r="281" spans="1:7" ht="11.25" customHeight="1">
      <c r="A281" t="s">
        <v>16</v>
      </c>
      <c t="s">
        <v>5845</v>
      </c>
      <c t="s">
        <v>5846</v>
      </c>
      <c t="s">
        <v>5788</v>
      </c>
      <c t="s">
        <v>5853</v>
      </c>
      <c t="s">
        <v>5097</v>
      </c>
      <c t="s">
        <v>5854</v>
      </c>
    </row>
    <row r="282" spans="1:7" ht="11.25" customHeight="1">
      <c r="A282" t="s">
        <v>16</v>
      </c>
      <c t="s">
        <v>5845</v>
      </c>
      <c t="s">
        <v>5846</v>
      </c>
      <c t="s">
        <v>5855</v>
      </c>
      <c t="s">
        <v>5856</v>
      </c>
      <c t="s">
        <v>5097</v>
      </c>
      <c t="s">
        <v>5857</v>
      </c>
    </row>
    <row r="283" spans="1:7" ht="11.25" customHeight="1">
      <c r="A283" t="s">
        <v>16</v>
      </c>
      <c t="s">
        <v>5845</v>
      </c>
      <c t="s">
        <v>5846</v>
      </c>
      <c t="s">
        <v>5858</v>
      </c>
      <c t="s">
        <v>5859</v>
      </c>
      <c t="s">
        <v>5097</v>
      </c>
      <c t="s">
        <v>5860</v>
      </c>
    </row>
    <row r="284" spans="1:7" ht="11.25" customHeight="1">
      <c r="A284" t="s">
        <v>16</v>
      </c>
      <c t="s">
        <v>5845</v>
      </c>
      <c t="s">
        <v>5846</v>
      </c>
      <c t="s">
        <v>5861</v>
      </c>
      <c t="s">
        <v>5862</v>
      </c>
      <c t="s">
        <v>5097</v>
      </c>
      <c t="s">
        <v>5863</v>
      </c>
    </row>
    <row r="285" spans="1:7" ht="11.25" customHeight="1">
      <c r="A285" t="s">
        <v>16</v>
      </c>
      <c t="s">
        <v>5845</v>
      </c>
      <c t="s">
        <v>5846</v>
      </c>
      <c t="s">
        <v>5845</v>
      </c>
      <c t="s">
        <v>5846</v>
      </c>
      <c t="s">
        <v>5088</v>
      </c>
      <c t="s">
        <v>5864</v>
      </c>
    </row>
    <row r="286" spans="1:7" ht="11.25" customHeight="1">
      <c r="A286" t="s">
        <v>16</v>
      </c>
      <c t="s">
        <v>5845</v>
      </c>
      <c t="s">
        <v>5846</v>
      </c>
      <c t="s">
        <v>5865</v>
      </c>
      <c t="s">
        <v>5866</v>
      </c>
      <c t="s">
        <v>5097</v>
      </c>
      <c t="s">
        <v>5867</v>
      </c>
    </row>
    <row r="287" spans="1:7" ht="11.25" customHeight="1">
      <c r="A287" t="s">
        <v>16</v>
      </c>
      <c t="s">
        <v>5845</v>
      </c>
      <c t="s">
        <v>5846</v>
      </c>
      <c t="s">
        <v>5868</v>
      </c>
      <c t="s">
        <v>5869</v>
      </c>
      <c t="s">
        <v>5097</v>
      </c>
      <c t="s">
        <v>5870</v>
      </c>
    </row>
    <row r="288" spans="1:7" ht="11.25" customHeight="1">
      <c r="A288" t="s">
        <v>16</v>
      </c>
      <c t="s">
        <v>5845</v>
      </c>
      <c t="s">
        <v>5846</v>
      </c>
      <c t="s">
        <v>5871</v>
      </c>
      <c t="s">
        <v>5872</v>
      </c>
      <c t="s">
        <v>5097</v>
      </c>
      <c t="s">
        <v>5873</v>
      </c>
    </row>
    <row r="289" spans="1:7" ht="11.25" customHeight="1">
      <c r="A289" t="s">
        <v>16</v>
      </c>
      <c t="s">
        <v>5845</v>
      </c>
      <c t="s">
        <v>5846</v>
      </c>
      <c t="s">
        <v>5874</v>
      </c>
      <c t="s">
        <v>5875</v>
      </c>
      <c t="s">
        <v>5097</v>
      </c>
      <c t="s">
        <v>5876</v>
      </c>
    </row>
    <row r="290" spans="1:7" ht="11.25" customHeight="1">
      <c r="A290" t="s">
        <v>16</v>
      </c>
      <c t="s">
        <v>5845</v>
      </c>
      <c t="s">
        <v>5846</v>
      </c>
      <c t="s">
        <v>5646</v>
      </c>
      <c t="s">
        <v>5877</v>
      </c>
      <c t="s">
        <v>5097</v>
      </c>
      <c t="s">
        <v>5878</v>
      </c>
    </row>
    <row r="291" spans="1:7" ht="11.25" customHeight="1">
      <c r="A291" t="s">
        <v>16</v>
      </c>
      <c t="s">
        <v>5879</v>
      </c>
      <c t="s">
        <v>5880</v>
      </c>
      <c t="s">
        <v>5879</v>
      </c>
      <c t="s">
        <v>5880</v>
      </c>
      <c t="s">
        <v>5657</v>
      </c>
      <c t="s">
        <v>5881</v>
      </c>
    </row>
    <row r="292" spans="1:7" ht="11.25" customHeight="1">
      <c r="A292" t="s">
        <v>16</v>
      </c>
      <c t="s">
        <v>5882</v>
      </c>
      <c t="s">
        <v>5883</v>
      </c>
      <c t="s">
        <v>5884</v>
      </c>
      <c t="s">
        <v>5885</v>
      </c>
      <c t="s">
        <v>5097</v>
      </c>
      <c t="s">
        <v>5886</v>
      </c>
    </row>
    <row r="293" spans="1:7" ht="11.25" customHeight="1">
      <c r="A293" t="s">
        <v>16</v>
      </c>
      <c t="s">
        <v>5882</v>
      </c>
      <c t="s">
        <v>5883</v>
      </c>
      <c t="s">
        <v>5887</v>
      </c>
      <c t="s">
        <v>5888</v>
      </c>
      <c t="s">
        <v>5097</v>
      </c>
      <c t="s">
        <v>5889</v>
      </c>
    </row>
    <row r="294" spans="1:7" ht="11.25" customHeight="1">
      <c r="A294" t="s">
        <v>16</v>
      </c>
      <c t="s">
        <v>5882</v>
      </c>
      <c t="s">
        <v>5883</v>
      </c>
      <c t="s">
        <v>5890</v>
      </c>
      <c t="s">
        <v>5891</v>
      </c>
      <c t="s">
        <v>5097</v>
      </c>
      <c t="s">
        <v>5892</v>
      </c>
    </row>
    <row r="295" spans="1:7" ht="11.25" customHeight="1">
      <c r="A295" t="s">
        <v>16</v>
      </c>
      <c t="s">
        <v>5882</v>
      </c>
      <c t="s">
        <v>5883</v>
      </c>
      <c t="s">
        <v>5795</v>
      </c>
      <c t="s">
        <v>5893</v>
      </c>
      <c t="s">
        <v>5097</v>
      </c>
      <c t="s">
        <v>5894</v>
      </c>
    </row>
    <row r="296" spans="1:7" ht="11.25" customHeight="1">
      <c r="A296" t="s">
        <v>16</v>
      </c>
      <c t="s">
        <v>5882</v>
      </c>
      <c t="s">
        <v>5883</v>
      </c>
      <c t="s">
        <v>5100</v>
      </c>
      <c t="s">
        <v>5895</v>
      </c>
      <c t="s">
        <v>5097</v>
      </c>
      <c t="s">
        <v>5896</v>
      </c>
    </row>
    <row r="297" spans="1:7" ht="11.25" customHeight="1">
      <c r="A297" t="s">
        <v>16</v>
      </c>
      <c t="s">
        <v>5882</v>
      </c>
      <c t="s">
        <v>5883</v>
      </c>
      <c t="s">
        <v>5897</v>
      </c>
      <c t="s">
        <v>5898</v>
      </c>
      <c t="s">
        <v>5097</v>
      </c>
      <c t="s">
        <v>5899</v>
      </c>
    </row>
    <row r="298" spans="1:7" ht="11.25" customHeight="1">
      <c r="A298" t="s">
        <v>16</v>
      </c>
      <c t="s">
        <v>5882</v>
      </c>
      <c t="s">
        <v>5883</v>
      </c>
      <c t="s">
        <v>5882</v>
      </c>
      <c t="s">
        <v>5883</v>
      </c>
      <c t="s">
        <v>5088</v>
      </c>
      <c t="s">
        <v>5900</v>
      </c>
    </row>
    <row r="299" spans="1:7" ht="11.25" customHeight="1">
      <c r="A299" t="s">
        <v>16</v>
      </c>
      <c t="s">
        <v>5882</v>
      </c>
      <c t="s">
        <v>5883</v>
      </c>
      <c t="s">
        <v>5901</v>
      </c>
      <c t="s">
        <v>5902</v>
      </c>
      <c t="s">
        <v>5091</v>
      </c>
      <c t="s">
        <v>5903</v>
      </c>
    </row>
    <row r="300" spans="1:7" ht="11.25" customHeight="1">
      <c r="A300" t="s">
        <v>16</v>
      </c>
      <c t="s">
        <v>5882</v>
      </c>
      <c t="s">
        <v>5883</v>
      </c>
      <c t="s">
        <v>5904</v>
      </c>
      <c t="s">
        <v>5905</v>
      </c>
      <c t="s">
        <v>5097</v>
      </c>
      <c t="s">
        <v>5906</v>
      </c>
    </row>
    <row r="301" spans="1:7" ht="11.25" customHeight="1">
      <c r="A301" t="s">
        <v>16</v>
      </c>
      <c t="s">
        <v>5882</v>
      </c>
      <c t="s">
        <v>5883</v>
      </c>
      <c t="s">
        <v>5907</v>
      </c>
      <c t="s">
        <v>5908</v>
      </c>
      <c t="s">
        <v>5097</v>
      </c>
      <c t="s">
        <v>5909</v>
      </c>
    </row>
    <row r="302" spans="1:7" ht="11.25" customHeight="1">
      <c r="A302" t="s">
        <v>16</v>
      </c>
      <c t="s">
        <v>5910</v>
      </c>
      <c t="s">
        <v>5911</v>
      </c>
      <c t="s">
        <v>5912</v>
      </c>
      <c t="s">
        <v>5913</v>
      </c>
      <c t="s">
        <v>5097</v>
      </c>
      <c t="s">
        <v>5914</v>
      </c>
    </row>
    <row r="303" spans="1:7" ht="11.25" customHeight="1">
      <c r="A303" t="s">
        <v>16</v>
      </c>
      <c t="s">
        <v>5910</v>
      </c>
      <c t="s">
        <v>5911</v>
      </c>
      <c t="s">
        <v>5915</v>
      </c>
      <c t="s">
        <v>5916</v>
      </c>
      <c t="s">
        <v>5094</v>
      </c>
      <c t="s">
        <v>5917</v>
      </c>
    </row>
    <row r="304" spans="1:7" ht="11.25" customHeight="1">
      <c r="A304" t="s">
        <v>16</v>
      </c>
      <c t="s">
        <v>5910</v>
      </c>
      <c t="s">
        <v>5911</v>
      </c>
      <c t="s">
        <v>5918</v>
      </c>
      <c t="s">
        <v>5919</v>
      </c>
      <c t="s">
        <v>5097</v>
      </c>
      <c t="s">
        <v>5920</v>
      </c>
    </row>
    <row r="305" spans="1:7" ht="11.25" customHeight="1">
      <c r="A305" t="s">
        <v>16</v>
      </c>
      <c t="s">
        <v>5910</v>
      </c>
      <c t="s">
        <v>5911</v>
      </c>
      <c t="s">
        <v>5921</v>
      </c>
      <c t="s">
        <v>5922</v>
      </c>
      <c t="s">
        <v>5094</v>
      </c>
      <c t="s">
        <v>5923</v>
      </c>
    </row>
    <row r="306" spans="1:7" ht="11.25" customHeight="1">
      <c r="A306" t="s">
        <v>16</v>
      </c>
      <c t="s">
        <v>5910</v>
      </c>
      <c t="s">
        <v>5911</v>
      </c>
      <c t="s">
        <v>5924</v>
      </c>
      <c t="s">
        <v>5925</v>
      </c>
      <c t="s">
        <v>5097</v>
      </c>
      <c t="s">
        <v>5926</v>
      </c>
    </row>
    <row r="307" spans="1:7" ht="11.25" customHeight="1">
      <c r="A307" t="s">
        <v>16</v>
      </c>
      <c t="s">
        <v>5910</v>
      </c>
      <c t="s">
        <v>5911</v>
      </c>
      <c t="s">
        <v>5927</v>
      </c>
      <c t="s">
        <v>5928</v>
      </c>
      <c t="s">
        <v>5097</v>
      </c>
      <c t="s">
        <v>5929</v>
      </c>
    </row>
    <row r="308" spans="1:7" ht="11.25" customHeight="1">
      <c r="A308" t="s">
        <v>16</v>
      </c>
      <c t="s">
        <v>5910</v>
      </c>
      <c t="s">
        <v>5911</v>
      </c>
      <c t="s">
        <v>5561</v>
      </c>
      <c t="s">
        <v>5930</v>
      </c>
      <c t="s">
        <v>5097</v>
      </c>
      <c t="s">
        <v>5931</v>
      </c>
    </row>
    <row r="309" spans="1:7" ht="11.25" customHeight="1">
      <c r="A309" t="s">
        <v>16</v>
      </c>
      <c t="s">
        <v>5910</v>
      </c>
      <c t="s">
        <v>5911</v>
      </c>
      <c t="s">
        <v>5932</v>
      </c>
      <c t="s">
        <v>5933</v>
      </c>
      <c t="s">
        <v>5097</v>
      </c>
      <c t="s">
        <v>5934</v>
      </c>
    </row>
    <row r="310" spans="1:7" ht="11.25" customHeight="1">
      <c r="A310" t="s">
        <v>16</v>
      </c>
      <c t="s">
        <v>5910</v>
      </c>
      <c t="s">
        <v>5911</v>
      </c>
      <c t="s">
        <v>5910</v>
      </c>
      <c t="s">
        <v>5911</v>
      </c>
      <c t="s">
        <v>5088</v>
      </c>
      <c t="s">
        <v>5935</v>
      </c>
    </row>
    <row r="311" spans="1:7" ht="11.25" customHeight="1">
      <c r="A311" t="s">
        <v>16</v>
      </c>
      <c t="s">
        <v>5910</v>
      </c>
      <c t="s">
        <v>5911</v>
      </c>
      <c t="s">
        <v>5936</v>
      </c>
      <c t="s">
        <v>5937</v>
      </c>
      <c t="s">
        <v>5097</v>
      </c>
      <c t="s">
        <v>5938</v>
      </c>
    </row>
    <row r="312" spans="1:7" ht="11.25" customHeight="1">
      <c r="A312" t="s">
        <v>16</v>
      </c>
      <c t="s">
        <v>5910</v>
      </c>
      <c t="s">
        <v>5911</v>
      </c>
      <c t="s">
        <v>5939</v>
      </c>
      <c t="s">
        <v>5940</v>
      </c>
      <c t="s">
        <v>5097</v>
      </c>
      <c t="s">
        <v>5941</v>
      </c>
    </row>
    <row r="313" spans="1:7" ht="11.25" customHeight="1">
      <c r="A313" t="s">
        <v>16</v>
      </c>
      <c t="s">
        <v>5910</v>
      </c>
      <c t="s">
        <v>5911</v>
      </c>
      <c t="s">
        <v>5942</v>
      </c>
      <c t="s">
        <v>5943</v>
      </c>
      <c t="s">
        <v>5094</v>
      </c>
      <c t="s">
        <v>5944</v>
      </c>
    </row>
    <row r="314" spans="1:7" ht="11.25" customHeight="1">
      <c r="A314" t="s">
        <v>16</v>
      </c>
      <c t="s">
        <v>5910</v>
      </c>
      <c t="s">
        <v>5911</v>
      </c>
      <c t="s">
        <v>5945</v>
      </c>
      <c t="s">
        <v>5946</v>
      </c>
      <c t="s">
        <v>5097</v>
      </c>
      <c t="s">
        <v>5947</v>
      </c>
    </row>
    <row r="315" spans="1:7" ht="11.25" customHeight="1">
      <c r="A315" t="s">
        <v>16</v>
      </c>
      <c t="s">
        <v>5948</v>
      </c>
      <c t="s">
        <v>5949</v>
      </c>
      <c t="s">
        <v>5948</v>
      </c>
      <c t="s">
        <v>5949</v>
      </c>
      <c t="s">
        <v>5209</v>
      </c>
      <c t="s">
        <v>5950</v>
      </c>
    </row>
    <row r="316" spans="1:7" ht="11.25" customHeight="1">
      <c r="A316" t="s">
        <v>16</v>
      </c>
      <c t="s">
        <v>5951</v>
      </c>
      <c t="s">
        <v>5952</v>
      </c>
      <c t="s">
        <v>5953</v>
      </c>
      <c t="s">
        <v>5954</v>
      </c>
      <c t="s">
        <v>5097</v>
      </c>
      <c t="s">
        <v>5955</v>
      </c>
    </row>
    <row r="317" spans="1:7" ht="11.25" customHeight="1">
      <c r="A317" t="s">
        <v>16</v>
      </c>
      <c t="s">
        <v>5951</v>
      </c>
      <c t="s">
        <v>5952</v>
      </c>
      <c t="s">
        <v>5956</v>
      </c>
      <c t="s">
        <v>5957</v>
      </c>
      <c t="s">
        <v>5097</v>
      </c>
      <c t="s">
        <v>5958</v>
      </c>
    </row>
    <row r="318" spans="1:7" ht="11.25" customHeight="1">
      <c r="A318" t="s">
        <v>16</v>
      </c>
      <c t="s">
        <v>5951</v>
      </c>
      <c t="s">
        <v>5952</v>
      </c>
      <c t="s">
        <v>5959</v>
      </c>
      <c t="s">
        <v>5960</v>
      </c>
      <c t="s">
        <v>5097</v>
      </c>
      <c t="s">
        <v>5961</v>
      </c>
    </row>
    <row r="319" spans="1:7" ht="11.25" customHeight="1">
      <c r="A319" t="s">
        <v>16</v>
      </c>
      <c t="s">
        <v>5951</v>
      </c>
      <c t="s">
        <v>5952</v>
      </c>
      <c t="s">
        <v>5962</v>
      </c>
      <c t="s">
        <v>5963</v>
      </c>
      <c t="s">
        <v>5097</v>
      </c>
      <c t="s">
        <v>5964</v>
      </c>
    </row>
    <row r="320" spans="1:7" ht="11.25" customHeight="1">
      <c r="A320" t="s">
        <v>16</v>
      </c>
      <c t="s">
        <v>5951</v>
      </c>
      <c t="s">
        <v>5952</v>
      </c>
      <c t="s">
        <v>5965</v>
      </c>
      <c t="s">
        <v>5966</v>
      </c>
      <c t="s">
        <v>5097</v>
      </c>
      <c t="s">
        <v>5967</v>
      </c>
    </row>
    <row r="321" spans="1:7" ht="11.25" customHeight="1">
      <c r="A321" t="s">
        <v>16</v>
      </c>
      <c t="s">
        <v>5951</v>
      </c>
      <c t="s">
        <v>5952</v>
      </c>
      <c t="s">
        <v>5968</v>
      </c>
      <c t="s">
        <v>5969</v>
      </c>
      <c t="s">
        <v>5097</v>
      </c>
      <c t="s">
        <v>5970</v>
      </c>
    </row>
    <row r="322" spans="1:7" ht="11.25" customHeight="1">
      <c r="A322" t="s">
        <v>16</v>
      </c>
      <c t="s">
        <v>5951</v>
      </c>
      <c t="s">
        <v>5952</v>
      </c>
      <c t="s">
        <v>5971</v>
      </c>
      <c t="s">
        <v>5972</v>
      </c>
      <c t="s">
        <v>5097</v>
      </c>
      <c t="s">
        <v>5973</v>
      </c>
    </row>
    <row r="323" spans="1:7" ht="11.25" customHeight="1">
      <c r="A323" t="s">
        <v>16</v>
      </c>
      <c t="s">
        <v>5951</v>
      </c>
      <c t="s">
        <v>5952</v>
      </c>
      <c t="s">
        <v>5974</v>
      </c>
      <c t="s">
        <v>5975</v>
      </c>
      <c t="s">
        <v>5097</v>
      </c>
      <c t="s">
        <v>5976</v>
      </c>
    </row>
    <row r="324" spans="1:7" ht="11.25" customHeight="1">
      <c r="A324" t="s">
        <v>16</v>
      </c>
      <c t="s">
        <v>5951</v>
      </c>
      <c t="s">
        <v>5952</v>
      </c>
      <c t="s">
        <v>5977</v>
      </c>
      <c t="s">
        <v>5978</v>
      </c>
      <c t="s">
        <v>5097</v>
      </c>
      <c t="s">
        <v>5979</v>
      </c>
    </row>
    <row r="325" spans="1:7" ht="11.25" customHeight="1">
      <c r="A325" t="s">
        <v>16</v>
      </c>
      <c t="s">
        <v>5951</v>
      </c>
      <c t="s">
        <v>5952</v>
      </c>
      <c t="s">
        <v>5767</v>
      </c>
      <c t="s">
        <v>5980</v>
      </c>
      <c t="s">
        <v>5097</v>
      </c>
      <c t="s">
        <v>5981</v>
      </c>
    </row>
    <row r="326" spans="1:7" ht="11.25" customHeight="1">
      <c r="A326" t="s">
        <v>16</v>
      </c>
      <c t="s">
        <v>5951</v>
      </c>
      <c t="s">
        <v>5952</v>
      </c>
      <c t="s">
        <v>5982</v>
      </c>
      <c t="s">
        <v>5983</v>
      </c>
      <c t="s">
        <v>5097</v>
      </c>
      <c t="s">
        <v>5984</v>
      </c>
    </row>
    <row r="327" spans="1:7" ht="11.25" customHeight="1">
      <c r="A327" t="s">
        <v>16</v>
      </c>
      <c t="s">
        <v>5951</v>
      </c>
      <c t="s">
        <v>5952</v>
      </c>
      <c t="s">
        <v>5985</v>
      </c>
      <c t="s">
        <v>5986</v>
      </c>
      <c t="s">
        <v>5097</v>
      </c>
      <c t="s">
        <v>5987</v>
      </c>
    </row>
    <row r="328" spans="1:7" ht="11.25" customHeight="1">
      <c r="A328" t="s">
        <v>16</v>
      </c>
      <c t="s">
        <v>5951</v>
      </c>
      <c t="s">
        <v>5952</v>
      </c>
      <c t="s">
        <v>5951</v>
      </c>
      <c t="s">
        <v>5952</v>
      </c>
      <c t="s">
        <v>5088</v>
      </c>
      <c t="s">
        <v>5988</v>
      </c>
    </row>
    <row r="329" spans="1:7" ht="11.25" customHeight="1">
      <c r="A329" t="s">
        <v>16</v>
      </c>
      <c t="s">
        <v>5951</v>
      </c>
      <c t="s">
        <v>5952</v>
      </c>
      <c t="s">
        <v>5989</v>
      </c>
      <c t="s">
        <v>5990</v>
      </c>
      <c t="s">
        <v>5091</v>
      </c>
      <c t="s">
        <v>5991</v>
      </c>
    </row>
    <row r="330" spans="1:7" ht="11.25" customHeight="1">
      <c r="A330" t="s">
        <v>16</v>
      </c>
      <c t="s">
        <v>5951</v>
      </c>
      <c t="s">
        <v>5952</v>
      </c>
      <c t="s">
        <v>5992</v>
      </c>
      <c t="s">
        <v>5993</v>
      </c>
      <c t="s">
        <v>5097</v>
      </c>
      <c t="s">
        <v>5994</v>
      </c>
    </row>
    <row r="331" spans="1:7" ht="11.25" customHeight="1">
      <c r="A331" t="s">
        <v>16</v>
      </c>
      <c t="s">
        <v>5951</v>
      </c>
      <c t="s">
        <v>5952</v>
      </c>
      <c t="s">
        <v>5995</v>
      </c>
      <c t="s">
        <v>5996</v>
      </c>
      <c t="s">
        <v>5097</v>
      </c>
      <c t="s">
        <v>5997</v>
      </c>
    </row>
    <row r="332" spans="1:7" ht="11.25" customHeight="1">
      <c r="A332" t="s">
        <v>16</v>
      </c>
      <c t="s">
        <v>5998</v>
      </c>
      <c t="s">
        <v>5999</v>
      </c>
      <c t="s">
        <v>6000</v>
      </c>
      <c t="s">
        <v>6001</v>
      </c>
      <c t="s">
        <v>5097</v>
      </c>
      <c t="s">
        <v>6002</v>
      </c>
    </row>
    <row r="333" spans="1:7" ht="11.25" customHeight="1">
      <c r="A333" t="s">
        <v>16</v>
      </c>
      <c t="s">
        <v>5998</v>
      </c>
      <c t="s">
        <v>5999</v>
      </c>
      <c t="s">
        <v>5385</v>
      </c>
      <c t="s">
        <v>6003</v>
      </c>
      <c t="s">
        <v>5097</v>
      </c>
      <c t="s">
        <v>6004</v>
      </c>
    </row>
    <row r="334" spans="1:7" ht="11.25" customHeight="1">
      <c r="A334" t="s">
        <v>16</v>
      </c>
      <c t="s">
        <v>5998</v>
      </c>
      <c t="s">
        <v>5999</v>
      </c>
      <c t="s">
        <v>6005</v>
      </c>
      <c t="s">
        <v>6006</v>
      </c>
      <c t="s">
        <v>5097</v>
      </c>
      <c t="s">
        <v>6007</v>
      </c>
    </row>
    <row r="335" spans="1:7" ht="11.25" customHeight="1">
      <c r="A335" t="s">
        <v>16</v>
      </c>
      <c t="s">
        <v>5998</v>
      </c>
      <c t="s">
        <v>5999</v>
      </c>
      <c t="s">
        <v>6008</v>
      </c>
      <c t="s">
        <v>6009</v>
      </c>
      <c t="s">
        <v>5097</v>
      </c>
      <c t="s">
        <v>6010</v>
      </c>
    </row>
    <row r="336" spans="1:7" ht="11.25" customHeight="1">
      <c r="A336" t="s">
        <v>16</v>
      </c>
      <c t="s">
        <v>5998</v>
      </c>
      <c t="s">
        <v>5999</v>
      </c>
      <c t="s">
        <v>5998</v>
      </c>
      <c t="s">
        <v>5999</v>
      </c>
      <c t="s">
        <v>5088</v>
      </c>
      <c t="s">
        <v>6011</v>
      </c>
    </row>
    <row r="337" spans="1:7" ht="11.25" customHeight="1">
      <c r="A337" t="s">
        <v>16</v>
      </c>
      <c t="s">
        <v>5998</v>
      </c>
      <c t="s">
        <v>5999</v>
      </c>
      <c t="s">
        <v>6012</v>
      </c>
      <c t="s">
        <v>6013</v>
      </c>
      <c t="s">
        <v>5097</v>
      </c>
      <c t="s">
        <v>6014</v>
      </c>
    </row>
    <row r="338" spans="1:7" ht="11.25" customHeight="1">
      <c r="A338" t="s">
        <v>16</v>
      </c>
      <c t="s">
        <v>6015</v>
      </c>
      <c t="s">
        <v>6016</v>
      </c>
      <c t="s">
        <v>6017</v>
      </c>
      <c t="s">
        <v>6018</v>
      </c>
      <c t="s">
        <v>5097</v>
      </c>
      <c t="s">
        <v>6019</v>
      </c>
    </row>
    <row r="339" spans="1:7" ht="11.25" customHeight="1">
      <c r="A339" t="s">
        <v>16</v>
      </c>
      <c t="s">
        <v>6015</v>
      </c>
      <c t="s">
        <v>6016</v>
      </c>
      <c t="s">
        <v>6020</v>
      </c>
      <c t="s">
        <v>6021</v>
      </c>
      <c t="s">
        <v>5097</v>
      </c>
      <c t="s">
        <v>6022</v>
      </c>
    </row>
    <row r="340" spans="1:7" ht="11.25" customHeight="1">
      <c r="A340" t="s">
        <v>16</v>
      </c>
      <c t="s">
        <v>6015</v>
      </c>
      <c t="s">
        <v>6016</v>
      </c>
      <c t="s">
        <v>6023</v>
      </c>
      <c t="s">
        <v>6024</v>
      </c>
      <c t="s">
        <v>5097</v>
      </c>
      <c t="s">
        <v>6025</v>
      </c>
    </row>
    <row r="341" spans="1:7" ht="11.25" customHeight="1">
      <c r="A341" t="s">
        <v>16</v>
      </c>
      <c t="s">
        <v>6015</v>
      </c>
      <c t="s">
        <v>6016</v>
      </c>
      <c t="s">
        <v>6026</v>
      </c>
      <c t="s">
        <v>6027</v>
      </c>
      <c t="s">
        <v>5097</v>
      </c>
      <c t="s">
        <v>6028</v>
      </c>
    </row>
    <row r="342" spans="1:7" ht="11.25" customHeight="1">
      <c r="A342" t="s">
        <v>16</v>
      </c>
      <c t="s">
        <v>6015</v>
      </c>
      <c t="s">
        <v>6016</v>
      </c>
      <c t="s">
        <v>6029</v>
      </c>
      <c t="s">
        <v>6030</v>
      </c>
      <c t="s">
        <v>5097</v>
      </c>
      <c t="s">
        <v>6031</v>
      </c>
    </row>
    <row r="343" spans="1:7" ht="11.25" customHeight="1">
      <c r="A343" t="s">
        <v>16</v>
      </c>
      <c t="s">
        <v>6015</v>
      </c>
      <c t="s">
        <v>6016</v>
      </c>
      <c t="s">
        <v>6032</v>
      </c>
      <c t="s">
        <v>6033</v>
      </c>
      <c t="s">
        <v>5097</v>
      </c>
      <c t="s">
        <v>6034</v>
      </c>
    </row>
    <row r="344" spans="1:7" ht="11.25" customHeight="1">
      <c r="A344" t="s">
        <v>16</v>
      </c>
      <c t="s">
        <v>6015</v>
      </c>
      <c t="s">
        <v>6016</v>
      </c>
      <c t="s">
        <v>6035</v>
      </c>
      <c t="s">
        <v>6036</v>
      </c>
      <c t="s">
        <v>5097</v>
      </c>
      <c t="s">
        <v>6037</v>
      </c>
    </row>
    <row r="345" spans="1:7" ht="11.25" customHeight="1">
      <c r="A345" t="s">
        <v>16</v>
      </c>
      <c t="s">
        <v>6015</v>
      </c>
      <c t="s">
        <v>6016</v>
      </c>
      <c t="s">
        <v>6015</v>
      </c>
      <c t="s">
        <v>6016</v>
      </c>
      <c t="s">
        <v>5088</v>
      </c>
      <c t="s">
        <v>6038</v>
      </c>
    </row>
    <row r="346" spans="1:7" ht="11.25" customHeight="1">
      <c r="A346" t="s">
        <v>16</v>
      </c>
      <c t="s">
        <v>6015</v>
      </c>
      <c t="s">
        <v>6016</v>
      </c>
      <c t="s">
        <v>6039</v>
      </c>
      <c t="s">
        <v>6040</v>
      </c>
      <c t="s">
        <v>5097</v>
      </c>
      <c t="s">
        <v>6041</v>
      </c>
    </row>
    <row r="347" spans="1:7" ht="11.25" customHeight="1">
      <c r="A347" t="s">
        <v>16</v>
      </c>
      <c t="s">
        <v>6042</v>
      </c>
      <c t="s">
        <v>6043</v>
      </c>
      <c t="s">
        <v>6044</v>
      </c>
      <c t="s">
        <v>6045</v>
      </c>
      <c t="s">
        <v>5097</v>
      </c>
      <c t="s">
        <v>6046</v>
      </c>
    </row>
    <row r="348" spans="1:7" ht="11.25" customHeight="1">
      <c r="A348" t="s">
        <v>16</v>
      </c>
      <c t="s">
        <v>6042</v>
      </c>
      <c t="s">
        <v>6043</v>
      </c>
      <c t="s">
        <v>6047</v>
      </c>
      <c t="s">
        <v>6048</v>
      </c>
      <c t="s">
        <v>5097</v>
      </c>
      <c t="s">
        <v>6049</v>
      </c>
    </row>
    <row r="349" spans="1:7" ht="11.25" customHeight="1">
      <c r="A349" t="s">
        <v>16</v>
      </c>
      <c t="s">
        <v>6042</v>
      </c>
      <c t="s">
        <v>6043</v>
      </c>
      <c t="s">
        <v>6050</v>
      </c>
      <c t="s">
        <v>6051</v>
      </c>
      <c t="s">
        <v>5097</v>
      </c>
      <c t="s">
        <v>6052</v>
      </c>
    </row>
    <row r="350" spans="1:7" ht="11.25" customHeight="1">
      <c r="A350" t="s">
        <v>16</v>
      </c>
      <c t="s">
        <v>6042</v>
      </c>
      <c t="s">
        <v>6043</v>
      </c>
      <c t="s">
        <v>6053</v>
      </c>
      <c t="s">
        <v>6054</v>
      </c>
      <c t="s">
        <v>5097</v>
      </c>
      <c t="s">
        <v>6055</v>
      </c>
    </row>
    <row r="351" spans="1:7" ht="11.25" customHeight="1">
      <c r="A351" t="s">
        <v>16</v>
      </c>
      <c t="s">
        <v>6042</v>
      </c>
      <c t="s">
        <v>6043</v>
      </c>
      <c t="s">
        <v>6056</v>
      </c>
      <c t="s">
        <v>6057</v>
      </c>
      <c t="s">
        <v>5097</v>
      </c>
      <c t="s">
        <v>6058</v>
      </c>
    </row>
    <row r="352" spans="1:7" ht="11.25" customHeight="1">
      <c r="A352" t="s">
        <v>16</v>
      </c>
      <c t="s">
        <v>6042</v>
      </c>
      <c t="s">
        <v>6043</v>
      </c>
      <c t="s">
        <v>6059</v>
      </c>
      <c t="s">
        <v>6060</v>
      </c>
      <c t="s">
        <v>5097</v>
      </c>
      <c t="s">
        <v>6061</v>
      </c>
    </row>
    <row r="353" spans="1:7" ht="11.25" customHeight="1">
      <c r="A353" t="s">
        <v>16</v>
      </c>
      <c t="s">
        <v>6042</v>
      </c>
      <c t="s">
        <v>6043</v>
      </c>
      <c t="s">
        <v>6062</v>
      </c>
      <c t="s">
        <v>6063</v>
      </c>
      <c t="s">
        <v>5097</v>
      </c>
      <c t="s">
        <v>6064</v>
      </c>
    </row>
    <row r="354" spans="1:7" ht="11.25" customHeight="1">
      <c r="A354" t="s">
        <v>16</v>
      </c>
      <c t="s">
        <v>6042</v>
      </c>
      <c t="s">
        <v>6043</v>
      </c>
      <c t="s">
        <v>6065</v>
      </c>
      <c t="s">
        <v>6066</v>
      </c>
      <c t="s">
        <v>5097</v>
      </c>
      <c t="s">
        <v>6067</v>
      </c>
    </row>
    <row r="355" spans="1:7" ht="11.25" customHeight="1">
      <c r="A355" t="s">
        <v>16</v>
      </c>
      <c t="s">
        <v>6042</v>
      </c>
      <c t="s">
        <v>6043</v>
      </c>
      <c t="s">
        <v>6068</v>
      </c>
      <c t="s">
        <v>6069</v>
      </c>
      <c t="s">
        <v>5097</v>
      </c>
      <c t="s">
        <v>6070</v>
      </c>
    </row>
    <row r="356" spans="1:7" ht="11.25" customHeight="1">
      <c r="A356" t="s">
        <v>16</v>
      </c>
      <c t="s">
        <v>6042</v>
      </c>
      <c t="s">
        <v>6043</v>
      </c>
      <c t="s">
        <v>6071</v>
      </c>
      <c t="s">
        <v>6072</v>
      </c>
      <c t="s">
        <v>5097</v>
      </c>
      <c t="s">
        <v>6073</v>
      </c>
    </row>
    <row r="357" spans="1:7" ht="11.25" customHeight="1">
      <c r="A357" t="s">
        <v>16</v>
      </c>
      <c t="s">
        <v>6042</v>
      </c>
      <c t="s">
        <v>6043</v>
      </c>
      <c t="s">
        <v>6042</v>
      </c>
      <c t="s">
        <v>6043</v>
      </c>
      <c t="s">
        <v>5088</v>
      </c>
      <c t="s">
        <v>6074</v>
      </c>
    </row>
    <row r="358" spans="1:7" ht="11.25" customHeight="1">
      <c r="A358" t="s">
        <v>16</v>
      </c>
      <c t="s">
        <v>6042</v>
      </c>
      <c t="s">
        <v>6043</v>
      </c>
      <c t="s">
        <v>6075</v>
      </c>
      <c t="s">
        <v>6076</v>
      </c>
      <c t="s">
        <v>5091</v>
      </c>
      <c t="s">
        <v>6077</v>
      </c>
    </row>
    <row r="359" spans="1:7" ht="11.25" customHeight="1">
      <c r="A359" t="s">
        <v>16</v>
      </c>
      <c t="s">
        <v>6042</v>
      </c>
      <c t="s">
        <v>6043</v>
      </c>
      <c t="s">
        <v>6078</v>
      </c>
      <c t="s">
        <v>6079</v>
      </c>
      <c t="s">
        <v>5097</v>
      </c>
      <c t="s">
        <v>6080</v>
      </c>
    </row>
    <row r="360" spans="1:7" ht="11.25" customHeight="1">
      <c r="A360" t="s">
        <v>16</v>
      </c>
      <c t="s">
        <v>6081</v>
      </c>
      <c t="s">
        <v>6082</v>
      </c>
      <c t="s">
        <v>6083</v>
      </c>
      <c t="s">
        <v>6084</v>
      </c>
      <c t="s">
        <v>5097</v>
      </c>
      <c t="s">
        <v>6085</v>
      </c>
    </row>
    <row r="361" spans="1:7" ht="11.25" customHeight="1">
      <c r="A361" t="s">
        <v>16</v>
      </c>
      <c t="s">
        <v>6081</v>
      </c>
      <c t="s">
        <v>6082</v>
      </c>
      <c t="s">
        <v>6086</v>
      </c>
      <c t="s">
        <v>6087</v>
      </c>
      <c t="s">
        <v>5097</v>
      </c>
      <c t="s">
        <v>6088</v>
      </c>
    </row>
    <row r="362" spans="1:7" ht="11.25" customHeight="1">
      <c r="A362" t="s">
        <v>16</v>
      </c>
      <c t="s">
        <v>6081</v>
      </c>
      <c t="s">
        <v>6082</v>
      </c>
      <c t="s">
        <v>6089</v>
      </c>
      <c t="s">
        <v>6090</v>
      </c>
      <c t="s">
        <v>5097</v>
      </c>
      <c t="s">
        <v>6091</v>
      </c>
    </row>
    <row r="363" spans="1:7" ht="11.25" customHeight="1">
      <c r="A363" t="s">
        <v>16</v>
      </c>
      <c t="s">
        <v>6081</v>
      </c>
      <c t="s">
        <v>6082</v>
      </c>
      <c t="s">
        <v>6092</v>
      </c>
      <c t="s">
        <v>6093</v>
      </c>
      <c t="s">
        <v>5097</v>
      </c>
      <c t="s">
        <v>6094</v>
      </c>
    </row>
    <row r="364" spans="1:7" ht="11.25" customHeight="1">
      <c r="A364" t="s">
        <v>16</v>
      </c>
      <c t="s">
        <v>6081</v>
      </c>
      <c t="s">
        <v>6082</v>
      </c>
      <c t="s">
        <v>6095</v>
      </c>
      <c t="s">
        <v>6096</v>
      </c>
      <c t="s">
        <v>5097</v>
      </c>
      <c t="s">
        <v>6097</v>
      </c>
    </row>
    <row r="365" spans="1:7" ht="11.25" customHeight="1">
      <c r="A365" t="s">
        <v>16</v>
      </c>
      <c t="s">
        <v>6081</v>
      </c>
      <c t="s">
        <v>6082</v>
      </c>
      <c t="s">
        <v>6098</v>
      </c>
      <c t="s">
        <v>6099</v>
      </c>
      <c t="s">
        <v>5097</v>
      </c>
      <c t="s">
        <v>6100</v>
      </c>
    </row>
    <row r="366" spans="1:7" ht="11.25" customHeight="1">
      <c r="A366" t="s">
        <v>16</v>
      </c>
      <c t="s">
        <v>6081</v>
      </c>
      <c t="s">
        <v>6082</v>
      </c>
      <c t="s">
        <v>6101</v>
      </c>
      <c t="s">
        <v>6102</v>
      </c>
      <c t="s">
        <v>5097</v>
      </c>
      <c t="s">
        <v>6103</v>
      </c>
    </row>
    <row r="367" spans="1:7" ht="11.25" customHeight="1">
      <c r="A367" t="s">
        <v>16</v>
      </c>
      <c t="s">
        <v>6081</v>
      </c>
      <c t="s">
        <v>6082</v>
      </c>
      <c t="s">
        <v>6104</v>
      </c>
      <c t="s">
        <v>6105</v>
      </c>
      <c t="s">
        <v>5097</v>
      </c>
      <c t="s">
        <v>6106</v>
      </c>
    </row>
    <row r="368" spans="1:7" ht="11.25" customHeight="1">
      <c r="A368" t="s">
        <v>16</v>
      </c>
      <c t="s">
        <v>6081</v>
      </c>
      <c t="s">
        <v>6082</v>
      </c>
      <c t="s">
        <v>6107</v>
      </c>
      <c t="s">
        <v>6108</v>
      </c>
      <c t="s">
        <v>5097</v>
      </c>
      <c t="s">
        <v>6109</v>
      </c>
    </row>
    <row r="369" spans="1:7" ht="11.25" customHeight="1">
      <c r="A369" t="s">
        <v>16</v>
      </c>
      <c t="s">
        <v>6081</v>
      </c>
      <c t="s">
        <v>6082</v>
      </c>
      <c t="s">
        <v>6081</v>
      </c>
      <c t="s">
        <v>6082</v>
      </c>
      <c t="s">
        <v>5088</v>
      </c>
      <c t="s">
        <v>6110</v>
      </c>
    </row>
    <row r="370" spans="1:7" ht="11.25" customHeight="1">
      <c r="A370" t="s">
        <v>16</v>
      </c>
      <c t="s">
        <v>6081</v>
      </c>
      <c t="s">
        <v>6082</v>
      </c>
      <c t="s">
        <v>6111</v>
      </c>
      <c t="s">
        <v>6112</v>
      </c>
      <c t="s">
        <v>5091</v>
      </c>
      <c t="s">
        <v>6113</v>
      </c>
    </row>
    <row r="371" spans="1:7" ht="11.25" customHeight="1">
      <c r="A371" t="s">
        <v>16</v>
      </c>
      <c t="s">
        <v>6114</v>
      </c>
      <c t="s">
        <v>6115</v>
      </c>
      <c t="s">
        <v>6116</v>
      </c>
      <c t="s">
        <v>6117</v>
      </c>
      <c t="s">
        <v>5097</v>
      </c>
      <c t="s">
        <v>6118</v>
      </c>
    </row>
    <row r="372" spans="1:7" ht="11.25" customHeight="1">
      <c r="A372" t="s">
        <v>16</v>
      </c>
      <c t="s">
        <v>6114</v>
      </c>
      <c t="s">
        <v>6115</v>
      </c>
      <c t="s">
        <v>6119</v>
      </c>
      <c t="s">
        <v>6120</v>
      </c>
      <c t="s">
        <v>5097</v>
      </c>
      <c t="s">
        <v>6121</v>
      </c>
    </row>
    <row r="373" spans="1:7" ht="11.25" customHeight="1">
      <c r="A373" t="s">
        <v>16</v>
      </c>
      <c t="s">
        <v>6114</v>
      </c>
      <c t="s">
        <v>6115</v>
      </c>
      <c t="s">
        <v>6122</v>
      </c>
      <c t="s">
        <v>6123</v>
      </c>
      <c t="s">
        <v>5097</v>
      </c>
      <c t="s">
        <v>6124</v>
      </c>
    </row>
    <row r="374" spans="1:7" ht="11.25" customHeight="1">
      <c r="A374" t="s">
        <v>16</v>
      </c>
      <c t="s">
        <v>6114</v>
      </c>
      <c t="s">
        <v>6115</v>
      </c>
      <c t="s">
        <v>6125</v>
      </c>
      <c t="s">
        <v>6126</v>
      </c>
      <c t="s">
        <v>5097</v>
      </c>
      <c t="s">
        <v>6127</v>
      </c>
    </row>
    <row r="375" spans="1:7" ht="11.25" customHeight="1">
      <c r="A375" t="s">
        <v>16</v>
      </c>
      <c t="s">
        <v>6114</v>
      </c>
      <c t="s">
        <v>6115</v>
      </c>
      <c t="s">
        <v>6128</v>
      </c>
      <c t="s">
        <v>6129</v>
      </c>
      <c t="s">
        <v>5097</v>
      </c>
      <c t="s">
        <v>6130</v>
      </c>
    </row>
    <row r="376" spans="1:7" ht="11.25" customHeight="1">
      <c r="A376" t="s">
        <v>16</v>
      </c>
      <c t="s">
        <v>6114</v>
      </c>
      <c t="s">
        <v>6115</v>
      </c>
      <c t="s">
        <v>5821</v>
      </c>
      <c t="s">
        <v>6131</v>
      </c>
      <c t="s">
        <v>5097</v>
      </c>
      <c t="s">
        <v>6132</v>
      </c>
    </row>
    <row r="377" spans="1:7" ht="11.25" customHeight="1">
      <c r="A377" t="s">
        <v>16</v>
      </c>
      <c t="s">
        <v>6114</v>
      </c>
      <c t="s">
        <v>6115</v>
      </c>
      <c t="s">
        <v>6133</v>
      </c>
      <c t="s">
        <v>6134</v>
      </c>
      <c t="s">
        <v>5097</v>
      </c>
      <c t="s">
        <v>6135</v>
      </c>
    </row>
    <row r="378" spans="1:7" ht="11.25" customHeight="1">
      <c r="A378" t="s">
        <v>16</v>
      </c>
      <c t="s">
        <v>6114</v>
      </c>
      <c t="s">
        <v>6115</v>
      </c>
      <c t="s">
        <v>6136</v>
      </c>
      <c t="s">
        <v>6137</v>
      </c>
      <c t="s">
        <v>5097</v>
      </c>
      <c t="s">
        <v>6138</v>
      </c>
    </row>
    <row r="379" spans="1:7" ht="11.25" customHeight="1">
      <c r="A379" t="s">
        <v>16</v>
      </c>
      <c t="s">
        <v>6114</v>
      </c>
      <c t="s">
        <v>6115</v>
      </c>
      <c t="s">
        <v>6114</v>
      </c>
      <c t="s">
        <v>6115</v>
      </c>
      <c t="s">
        <v>5088</v>
      </c>
      <c t="s">
        <v>6139</v>
      </c>
    </row>
    <row r="380" spans="1:7" ht="11.25" customHeight="1">
      <c r="A380" t="s">
        <v>16</v>
      </c>
      <c t="s">
        <v>6114</v>
      </c>
      <c t="s">
        <v>6115</v>
      </c>
      <c t="s">
        <v>6140</v>
      </c>
      <c t="s">
        <v>6141</v>
      </c>
      <c t="s">
        <v>5091</v>
      </c>
      <c t="s">
        <v>6142</v>
      </c>
    </row>
    <row r="381" spans="1:7" ht="11.25" customHeight="1">
      <c r="A381" t="s">
        <v>16</v>
      </c>
      <c t="s">
        <v>6114</v>
      </c>
      <c t="s">
        <v>6115</v>
      </c>
      <c t="s">
        <v>6143</v>
      </c>
      <c t="s">
        <v>6144</v>
      </c>
      <c t="s">
        <v>5097</v>
      </c>
      <c t="s">
        <v>6145</v>
      </c>
    </row>
    <row r="382" spans="1:7" ht="11.25" customHeight="1">
      <c r="A382" t="s">
        <v>16</v>
      </c>
      <c t="s">
        <v>6114</v>
      </c>
      <c t="s">
        <v>6115</v>
      </c>
      <c t="s">
        <v>6146</v>
      </c>
      <c t="s">
        <v>6147</v>
      </c>
      <c t="s">
        <v>5097</v>
      </c>
      <c t="s">
        <v>6148</v>
      </c>
    </row>
    <row r="383" spans="1:7" ht="11.25" customHeight="1">
      <c r="A383" t="s">
        <v>16</v>
      </c>
      <c t="s">
        <v>6114</v>
      </c>
      <c t="s">
        <v>6115</v>
      </c>
      <c t="s">
        <v>6149</v>
      </c>
      <c t="s">
        <v>6150</v>
      </c>
      <c t="s">
        <v>5097</v>
      </c>
      <c t="s">
        <v>6151</v>
      </c>
    </row>
    <row r="384" spans="1:7" ht="11.25" customHeight="1">
      <c r="A384" t="s">
        <v>16</v>
      </c>
      <c t="s">
        <v>6152</v>
      </c>
      <c t="s">
        <v>6153</v>
      </c>
      <c t="s">
        <v>6152</v>
      </c>
      <c t="s">
        <v>6153</v>
      </c>
      <c t="s">
        <v>5657</v>
      </c>
      <c t="s">
        <v>6154</v>
      </c>
    </row>
    <row r="385" spans="1:7" ht="11.25" customHeight="1">
      <c r="A385" t="s">
        <v>16</v>
      </c>
      <c t="s">
        <v>6155</v>
      </c>
      <c t="s">
        <v>6156</v>
      </c>
      <c t="s">
        <v>6157</v>
      </c>
      <c t="s">
        <v>6158</v>
      </c>
      <c t="s">
        <v>5097</v>
      </c>
      <c t="s">
        <v>6159</v>
      </c>
    </row>
    <row r="386" spans="1:7" ht="11.25" customHeight="1">
      <c r="A386" t="s">
        <v>16</v>
      </c>
      <c t="s">
        <v>6155</v>
      </c>
      <c t="s">
        <v>6156</v>
      </c>
      <c t="s">
        <v>6160</v>
      </c>
      <c t="s">
        <v>6161</v>
      </c>
      <c t="s">
        <v>5097</v>
      </c>
      <c t="s">
        <v>6162</v>
      </c>
    </row>
    <row r="387" spans="1:7" ht="11.25" customHeight="1">
      <c r="A387" t="s">
        <v>16</v>
      </c>
      <c t="s">
        <v>6155</v>
      </c>
      <c t="s">
        <v>6156</v>
      </c>
      <c t="s">
        <v>6163</v>
      </c>
      <c t="s">
        <v>6164</v>
      </c>
      <c t="s">
        <v>5094</v>
      </c>
      <c t="s">
        <v>6165</v>
      </c>
    </row>
    <row r="388" spans="1:7" ht="11.25" customHeight="1">
      <c r="A388" t="s">
        <v>16</v>
      </c>
      <c t="s">
        <v>6155</v>
      </c>
      <c t="s">
        <v>6156</v>
      </c>
      <c t="s">
        <v>6166</v>
      </c>
      <c t="s">
        <v>6167</v>
      </c>
      <c t="s">
        <v>5097</v>
      </c>
      <c t="s">
        <v>6168</v>
      </c>
    </row>
    <row r="389" spans="1:7" ht="11.25" customHeight="1">
      <c r="A389" t="s">
        <v>16</v>
      </c>
      <c t="s">
        <v>6155</v>
      </c>
      <c t="s">
        <v>6156</v>
      </c>
      <c t="s">
        <v>6169</v>
      </c>
      <c t="s">
        <v>6170</v>
      </c>
      <c t="s">
        <v>5094</v>
      </c>
      <c t="s">
        <v>6171</v>
      </c>
    </row>
    <row r="390" spans="1:7" ht="11.25" customHeight="1">
      <c r="A390" t="s">
        <v>16</v>
      </c>
      <c t="s">
        <v>6155</v>
      </c>
      <c t="s">
        <v>6156</v>
      </c>
      <c t="s">
        <v>5469</v>
      </c>
      <c t="s">
        <v>6172</v>
      </c>
      <c t="s">
        <v>5097</v>
      </c>
      <c t="s">
        <v>6173</v>
      </c>
    </row>
    <row r="391" spans="1:7" ht="11.25" customHeight="1">
      <c r="A391" t="s">
        <v>16</v>
      </c>
      <c t="s">
        <v>6155</v>
      </c>
      <c t="s">
        <v>6156</v>
      </c>
      <c t="s">
        <v>6174</v>
      </c>
      <c t="s">
        <v>6175</v>
      </c>
      <c t="s">
        <v>5097</v>
      </c>
      <c t="s">
        <v>6176</v>
      </c>
    </row>
    <row r="392" spans="1:7" ht="11.25" customHeight="1">
      <c r="A392" t="s">
        <v>16</v>
      </c>
      <c t="s">
        <v>6155</v>
      </c>
      <c t="s">
        <v>6156</v>
      </c>
      <c t="s">
        <v>6155</v>
      </c>
      <c t="s">
        <v>6156</v>
      </c>
      <c t="s">
        <v>5088</v>
      </c>
      <c t="s">
        <v>6177</v>
      </c>
    </row>
    <row r="393" spans="1:7" ht="11.25" customHeight="1">
      <c r="A393" t="s">
        <v>16</v>
      </c>
      <c t="s">
        <v>6155</v>
      </c>
      <c t="s">
        <v>6156</v>
      </c>
      <c t="s">
        <v>6178</v>
      </c>
      <c t="s">
        <v>6179</v>
      </c>
      <c t="s">
        <v>5091</v>
      </c>
      <c t="s">
        <v>6180</v>
      </c>
    </row>
    <row r="394" spans="1:7" ht="11.25" customHeight="1">
      <c r="A394" t="s">
        <v>16</v>
      </c>
      <c t="s">
        <v>6155</v>
      </c>
      <c t="s">
        <v>6156</v>
      </c>
      <c t="s">
        <v>6181</v>
      </c>
      <c t="s">
        <v>6182</v>
      </c>
      <c t="s">
        <v>5097</v>
      </c>
      <c t="s">
        <v>6183</v>
      </c>
    </row>
    <row r="395" spans="1:7" ht="11.25" customHeight="1">
      <c r="A395" t="s">
        <v>16</v>
      </c>
      <c t="s">
        <v>6155</v>
      </c>
      <c t="s">
        <v>6156</v>
      </c>
      <c t="s">
        <v>6184</v>
      </c>
      <c t="s">
        <v>6185</v>
      </c>
      <c t="s">
        <v>5097</v>
      </c>
      <c t="s">
        <v>6186</v>
      </c>
    </row>
    <row r="396" spans="1:7" ht="11.25" customHeight="1">
      <c r="A396" t="s">
        <v>16</v>
      </c>
      <c t="s">
        <v>6187</v>
      </c>
      <c t="s">
        <v>6188</v>
      </c>
      <c t="s">
        <v>5850</v>
      </c>
      <c t="s">
        <v>6189</v>
      </c>
      <c t="s">
        <v>5097</v>
      </c>
      <c t="s">
        <v>6190</v>
      </c>
    </row>
    <row r="397" spans="1:7" ht="11.25" customHeight="1">
      <c r="A397" t="s">
        <v>16</v>
      </c>
      <c t="s">
        <v>6187</v>
      </c>
      <c t="s">
        <v>6188</v>
      </c>
      <c t="s">
        <v>6191</v>
      </c>
      <c t="s">
        <v>6192</v>
      </c>
      <c t="s">
        <v>5097</v>
      </c>
      <c t="s">
        <v>6193</v>
      </c>
    </row>
    <row r="398" spans="1:7" ht="11.25" customHeight="1">
      <c r="A398" t="s">
        <v>16</v>
      </c>
      <c t="s">
        <v>6187</v>
      </c>
      <c t="s">
        <v>6188</v>
      </c>
      <c t="s">
        <v>6194</v>
      </c>
      <c t="s">
        <v>6195</v>
      </c>
      <c t="s">
        <v>5097</v>
      </c>
      <c t="s">
        <v>6196</v>
      </c>
    </row>
    <row r="399" spans="1:7" ht="11.25" customHeight="1">
      <c r="A399" t="s">
        <v>16</v>
      </c>
      <c t="s">
        <v>6187</v>
      </c>
      <c t="s">
        <v>6188</v>
      </c>
      <c t="s">
        <v>6197</v>
      </c>
      <c t="s">
        <v>6198</v>
      </c>
      <c t="s">
        <v>5097</v>
      </c>
      <c t="s">
        <v>6199</v>
      </c>
    </row>
    <row r="400" spans="1:7" ht="11.25" customHeight="1">
      <c r="A400" t="s">
        <v>16</v>
      </c>
      <c t="s">
        <v>6187</v>
      </c>
      <c t="s">
        <v>6188</v>
      </c>
      <c t="s">
        <v>6200</v>
      </c>
      <c t="s">
        <v>6201</v>
      </c>
      <c t="s">
        <v>5097</v>
      </c>
      <c t="s">
        <v>6202</v>
      </c>
    </row>
    <row r="401" spans="1:7" ht="11.25" customHeight="1">
      <c r="A401" t="s">
        <v>16</v>
      </c>
      <c t="s">
        <v>6187</v>
      </c>
      <c t="s">
        <v>6188</v>
      </c>
      <c t="s">
        <v>6203</v>
      </c>
      <c t="s">
        <v>6204</v>
      </c>
      <c t="s">
        <v>5097</v>
      </c>
      <c t="s">
        <v>6205</v>
      </c>
    </row>
    <row r="402" spans="1:7" ht="11.25" customHeight="1">
      <c r="A402" t="s">
        <v>16</v>
      </c>
      <c t="s">
        <v>6187</v>
      </c>
      <c t="s">
        <v>6188</v>
      </c>
      <c t="s">
        <v>6206</v>
      </c>
      <c t="s">
        <v>6207</v>
      </c>
      <c t="s">
        <v>5097</v>
      </c>
      <c t="s">
        <v>6208</v>
      </c>
    </row>
    <row r="403" spans="1:7" ht="11.25" customHeight="1">
      <c r="A403" t="s">
        <v>16</v>
      </c>
      <c t="s">
        <v>6187</v>
      </c>
      <c t="s">
        <v>6188</v>
      </c>
      <c t="s">
        <v>6209</v>
      </c>
      <c t="s">
        <v>6210</v>
      </c>
      <c t="s">
        <v>5097</v>
      </c>
      <c t="s">
        <v>6211</v>
      </c>
    </row>
    <row r="404" spans="1:7" ht="11.25" customHeight="1">
      <c r="A404" t="s">
        <v>16</v>
      </c>
      <c t="s">
        <v>6187</v>
      </c>
      <c t="s">
        <v>6188</v>
      </c>
      <c t="s">
        <v>6212</v>
      </c>
      <c t="s">
        <v>6213</v>
      </c>
      <c t="s">
        <v>5097</v>
      </c>
      <c t="s">
        <v>6214</v>
      </c>
    </row>
    <row r="405" spans="1:7" ht="11.25" customHeight="1">
      <c r="A405" t="s">
        <v>16</v>
      </c>
      <c t="s">
        <v>6187</v>
      </c>
      <c t="s">
        <v>6188</v>
      </c>
      <c t="s">
        <v>6187</v>
      </c>
      <c t="s">
        <v>6188</v>
      </c>
      <c t="s">
        <v>5088</v>
      </c>
      <c t="s">
        <v>6215</v>
      </c>
    </row>
    <row r="406" spans="1:7" ht="11.25" customHeight="1">
      <c r="A406" t="s">
        <v>16</v>
      </c>
      <c t="s">
        <v>6187</v>
      </c>
      <c t="s">
        <v>6188</v>
      </c>
      <c t="s">
        <v>5140</v>
      </c>
      <c t="s">
        <v>6216</v>
      </c>
      <c t="s">
        <v>5097</v>
      </c>
      <c t="s">
        <v>6217</v>
      </c>
    </row>
    <row r="407" spans="1:7" ht="11.25" customHeight="1">
      <c r="A407" t="s">
        <v>16</v>
      </c>
      <c t="s">
        <v>6218</v>
      </c>
      <c t="s">
        <v>6219</v>
      </c>
      <c t="s">
        <v>5306</v>
      </c>
      <c t="s">
        <v>6220</v>
      </c>
      <c t="s">
        <v>5097</v>
      </c>
      <c t="s">
        <v>6221</v>
      </c>
    </row>
    <row r="408" spans="1:7" ht="11.25" customHeight="1">
      <c r="A408" t="s">
        <v>16</v>
      </c>
      <c t="s">
        <v>6218</v>
      </c>
      <c t="s">
        <v>6219</v>
      </c>
      <c t="s">
        <v>6122</v>
      </c>
      <c t="s">
        <v>6222</v>
      </c>
      <c t="s">
        <v>5097</v>
      </c>
      <c t="s">
        <v>6223</v>
      </c>
    </row>
    <row r="409" spans="1:7" ht="11.25" customHeight="1">
      <c r="A409" t="s">
        <v>16</v>
      </c>
      <c t="s">
        <v>6218</v>
      </c>
      <c t="s">
        <v>6219</v>
      </c>
      <c t="s">
        <v>6224</v>
      </c>
      <c t="s">
        <v>6225</v>
      </c>
      <c t="s">
        <v>5097</v>
      </c>
      <c t="s">
        <v>6226</v>
      </c>
    </row>
    <row r="410" spans="1:7" ht="11.25" customHeight="1">
      <c r="A410" t="s">
        <v>16</v>
      </c>
      <c t="s">
        <v>6218</v>
      </c>
      <c t="s">
        <v>6219</v>
      </c>
      <c t="s">
        <v>6227</v>
      </c>
      <c t="s">
        <v>6228</v>
      </c>
      <c t="s">
        <v>5097</v>
      </c>
      <c t="s">
        <v>6229</v>
      </c>
    </row>
    <row r="411" spans="1:7" ht="11.25" customHeight="1">
      <c r="A411" t="s">
        <v>16</v>
      </c>
      <c t="s">
        <v>6218</v>
      </c>
      <c t="s">
        <v>6219</v>
      </c>
      <c t="s">
        <v>5664</v>
      </c>
      <c t="s">
        <v>6230</v>
      </c>
      <c t="s">
        <v>5097</v>
      </c>
      <c t="s">
        <v>6231</v>
      </c>
    </row>
    <row r="412" spans="1:7" ht="11.25" customHeight="1">
      <c r="A412" t="s">
        <v>16</v>
      </c>
      <c t="s">
        <v>6218</v>
      </c>
      <c t="s">
        <v>6219</v>
      </c>
      <c t="s">
        <v>6232</v>
      </c>
      <c t="s">
        <v>6233</v>
      </c>
      <c t="s">
        <v>5097</v>
      </c>
      <c t="s">
        <v>6234</v>
      </c>
    </row>
    <row r="413" spans="1:7" ht="11.25" customHeight="1">
      <c r="A413" t="s">
        <v>16</v>
      </c>
      <c t="s">
        <v>6218</v>
      </c>
      <c t="s">
        <v>6219</v>
      </c>
      <c t="s">
        <v>6235</v>
      </c>
      <c t="s">
        <v>6236</v>
      </c>
      <c t="s">
        <v>5097</v>
      </c>
      <c t="s">
        <v>6237</v>
      </c>
    </row>
    <row r="414" spans="1:7" ht="11.25" customHeight="1">
      <c r="A414" t="s">
        <v>16</v>
      </c>
      <c t="s">
        <v>6218</v>
      </c>
      <c t="s">
        <v>6219</v>
      </c>
      <c t="s">
        <v>6238</v>
      </c>
      <c t="s">
        <v>6239</v>
      </c>
      <c t="s">
        <v>5097</v>
      </c>
      <c t="s">
        <v>6240</v>
      </c>
    </row>
    <row r="415" spans="1:7" ht="11.25" customHeight="1">
      <c r="A415" t="s">
        <v>16</v>
      </c>
      <c t="s">
        <v>6218</v>
      </c>
      <c t="s">
        <v>6219</v>
      </c>
      <c t="s">
        <v>6241</v>
      </c>
      <c t="s">
        <v>6242</v>
      </c>
      <c t="s">
        <v>5097</v>
      </c>
      <c t="s">
        <v>6243</v>
      </c>
    </row>
    <row r="416" spans="1:7" ht="11.25" customHeight="1">
      <c r="A416" t="s">
        <v>16</v>
      </c>
      <c t="s">
        <v>6218</v>
      </c>
      <c t="s">
        <v>6219</v>
      </c>
      <c t="s">
        <v>6244</v>
      </c>
      <c t="s">
        <v>6245</v>
      </c>
      <c t="s">
        <v>5097</v>
      </c>
      <c t="s">
        <v>6246</v>
      </c>
    </row>
    <row r="417" spans="1:7" ht="11.25" customHeight="1">
      <c r="A417" t="s">
        <v>16</v>
      </c>
      <c t="s">
        <v>6218</v>
      </c>
      <c t="s">
        <v>6219</v>
      </c>
      <c t="s">
        <v>6247</v>
      </c>
      <c t="s">
        <v>6248</v>
      </c>
      <c t="s">
        <v>5097</v>
      </c>
      <c t="s">
        <v>6249</v>
      </c>
    </row>
    <row r="418" spans="1:7" ht="11.25" customHeight="1">
      <c r="A418" t="s">
        <v>16</v>
      </c>
      <c t="s">
        <v>6218</v>
      </c>
      <c t="s">
        <v>6219</v>
      </c>
      <c t="s">
        <v>6250</v>
      </c>
      <c t="s">
        <v>6251</v>
      </c>
      <c t="s">
        <v>5097</v>
      </c>
      <c t="s">
        <v>6252</v>
      </c>
    </row>
    <row r="419" spans="1:7" ht="11.25" customHeight="1">
      <c r="A419" t="s">
        <v>16</v>
      </c>
      <c t="s">
        <v>6218</v>
      </c>
      <c t="s">
        <v>6219</v>
      </c>
      <c t="s">
        <v>6253</v>
      </c>
      <c t="s">
        <v>6254</v>
      </c>
      <c t="s">
        <v>5097</v>
      </c>
      <c t="s">
        <v>6255</v>
      </c>
    </row>
    <row r="420" spans="1:7" ht="11.25" customHeight="1">
      <c r="A420" t="s">
        <v>16</v>
      </c>
      <c t="s">
        <v>6218</v>
      </c>
      <c t="s">
        <v>6219</v>
      </c>
      <c t="s">
        <v>6174</v>
      </c>
      <c t="s">
        <v>6256</v>
      </c>
      <c t="s">
        <v>5097</v>
      </c>
      <c t="s">
        <v>6257</v>
      </c>
    </row>
    <row r="421" spans="1:7" ht="11.25" customHeight="1">
      <c r="A421" t="s">
        <v>16</v>
      </c>
      <c t="s">
        <v>6218</v>
      </c>
      <c t="s">
        <v>6219</v>
      </c>
      <c t="s">
        <v>6218</v>
      </c>
      <c t="s">
        <v>6219</v>
      </c>
      <c t="s">
        <v>5088</v>
      </c>
      <c t="s">
        <v>6258</v>
      </c>
    </row>
    <row r="422" spans="1:7" ht="11.25" customHeight="1">
      <c r="A422" t="s">
        <v>16</v>
      </c>
      <c t="s">
        <v>6218</v>
      </c>
      <c t="s">
        <v>6219</v>
      </c>
      <c t="s">
        <v>6259</v>
      </c>
      <c t="s">
        <v>6260</v>
      </c>
      <c t="s">
        <v>5091</v>
      </c>
      <c t="s">
        <v>6261</v>
      </c>
    </row>
    <row r="423" spans="1:7" ht="11.25" customHeight="1">
      <c r="A423" t="s">
        <v>16</v>
      </c>
      <c t="s">
        <v>6262</v>
      </c>
      <c t="s">
        <v>6263</v>
      </c>
      <c t="s">
        <v>6264</v>
      </c>
      <c t="s">
        <v>6265</v>
      </c>
      <c t="s">
        <v>5097</v>
      </c>
      <c t="s">
        <v>6266</v>
      </c>
    </row>
    <row r="424" spans="1:7" ht="11.25" customHeight="1">
      <c r="A424" t="s">
        <v>16</v>
      </c>
      <c t="s">
        <v>6262</v>
      </c>
      <c t="s">
        <v>6263</v>
      </c>
      <c t="s">
        <v>6267</v>
      </c>
      <c t="s">
        <v>6268</v>
      </c>
      <c t="s">
        <v>5097</v>
      </c>
      <c t="s">
        <v>6269</v>
      </c>
    </row>
    <row r="425" spans="1:7" ht="11.25" customHeight="1">
      <c r="A425" t="s">
        <v>16</v>
      </c>
      <c t="s">
        <v>6262</v>
      </c>
      <c t="s">
        <v>6263</v>
      </c>
      <c t="s">
        <v>6270</v>
      </c>
      <c t="s">
        <v>6271</v>
      </c>
      <c t="s">
        <v>5097</v>
      </c>
      <c t="s">
        <v>6272</v>
      </c>
    </row>
    <row r="426" spans="1:7" ht="11.25" customHeight="1">
      <c r="A426" t="s">
        <v>16</v>
      </c>
      <c t="s">
        <v>6262</v>
      </c>
      <c t="s">
        <v>6263</v>
      </c>
      <c t="s">
        <v>6203</v>
      </c>
      <c t="s">
        <v>6273</v>
      </c>
      <c t="s">
        <v>5097</v>
      </c>
      <c t="s">
        <v>6274</v>
      </c>
    </row>
    <row r="427" spans="1:7" ht="11.25" customHeight="1">
      <c r="A427" t="s">
        <v>16</v>
      </c>
      <c t="s">
        <v>6262</v>
      </c>
      <c t="s">
        <v>6263</v>
      </c>
      <c t="s">
        <v>6275</v>
      </c>
      <c t="s">
        <v>6276</v>
      </c>
      <c t="s">
        <v>5097</v>
      </c>
      <c t="s">
        <v>6277</v>
      </c>
    </row>
    <row r="428" spans="1:7" ht="11.25" customHeight="1">
      <c r="A428" t="s">
        <v>16</v>
      </c>
      <c t="s">
        <v>6262</v>
      </c>
      <c t="s">
        <v>6263</v>
      </c>
      <c t="s">
        <v>6278</v>
      </c>
      <c t="s">
        <v>6279</v>
      </c>
      <c t="s">
        <v>5097</v>
      </c>
      <c t="s">
        <v>6280</v>
      </c>
    </row>
    <row r="429" spans="1:7" ht="11.25" customHeight="1">
      <c r="A429" t="s">
        <v>16</v>
      </c>
      <c t="s">
        <v>6262</v>
      </c>
      <c t="s">
        <v>6263</v>
      </c>
      <c t="s">
        <v>6281</v>
      </c>
      <c t="s">
        <v>6282</v>
      </c>
      <c t="s">
        <v>5097</v>
      </c>
      <c t="s">
        <v>6283</v>
      </c>
    </row>
    <row r="430" spans="1:7" ht="11.25" customHeight="1">
      <c r="A430" t="s">
        <v>16</v>
      </c>
      <c t="s">
        <v>6262</v>
      </c>
      <c t="s">
        <v>6263</v>
      </c>
      <c t="s">
        <v>6262</v>
      </c>
      <c t="s">
        <v>6263</v>
      </c>
      <c t="s">
        <v>5088</v>
      </c>
      <c t="s">
        <v>6284</v>
      </c>
    </row>
    <row r="431" spans="1:7" ht="11.25" customHeight="1">
      <c r="A431" t="s">
        <v>16</v>
      </c>
      <c t="s">
        <v>6262</v>
      </c>
      <c t="s">
        <v>6263</v>
      </c>
      <c t="s">
        <v>6285</v>
      </c>
      <c t="s">
        <v>6286</v>
      </c>
      <c t="s">
        <v>5097</v>
      </c>
      <c t="s">
        <v>6287</v>
      </c>
    </row>
    <row r="432" spans="1:7" ht="11.25" customHeight="1">
      <c r="A432" t="s">
        <v>16</v>
      </c>
      <c t="s">
        <v>6288</v>
      </c>
      <c t="s">
        <v>6289</v>
      </c>
      <c t="s">
        <v>6288</v>
      </c>
      <c t="s">
        <v>6289</v>
      </c>
      <c t="s">
        <v>5209</v>
      </c>
      <c t="s">
        <v>6290</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2D9B84D-F245-B834-02F7-0.24D8B9E2}"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84.2857142857143" style="1693" customWidth="1"/>
    <col min="3" max="3" width="9.14285714285714" style="1693"/>
  </cols>
  <sheetData>
    <row r="1" spans="1:3" ht="11.25" customHeight="1">
      <c r="A1" s="837" t="s">
        <v>6321</v>
      </c>
      <c s="837" t="s">
        <v>6322</v>
      </c>
      <c s="837" t="s">
        <v>1165</v>
      </c>
    </row>
    <row r="2" spans="1:3" ht="11.25" customHeight="1">
      <c r="A2" s="837">
        <v>4189678</v>
      </c>
      <c s="837" t="s">
        <v>6323</v>
      </c>
      <c s="837" t="s">
        <v>6324</v>
      </c>
    </row>
    <row r="3" spans="1:3" ht="11.25" customHeight="1">
      <c r="A3" s="837">
        <v>4190415</v>
      </c>
      <c s="837" t="s">
        <v>6325</v>
      </c>
      <c s="837" t="s">
        <v>6324</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2CBD425-E94E-3F0A-0EE9-0.2327D94A}"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4" customWidth="1"/>
    <col min="2" max="5" width="9.14285714285714" style="164"/>
  </cols>
  <sheetData>
    <row r="1" spans="1:5" ht="15" customHeight="1">
      <c r="A1" s="165" t="s">
        <v>6326</v>
      </c>
      <c s="165" t="s">
        <v>6327</v>
      </c>
      <c s="165"/>
      <c s="165"/>
      <c s="165"/>
    </row>
    <row r="2" spans="1:5" ht="15" customHeight="1">
      <c r="A2" s="165"/>
      <c s="165"/>
      <c s="165"/>
      <c s="165"/>
      <c s="165"/>
    </row>
    <row r="3" spans="1:5" ht="15" customHeight="1">
      <c r="A3" s="165"/>
      <c s="165"/>
      <c s="165"/>
      <c s="165"/>
      <c s="165"/>
    </row>
    <row r="4" spans="1:5" ht="15" customHeight="1">
      <c r="A4" s="165"/>
      <c s="165"/>
      <c s="165"/>
      <c s="165"/>
      <c s="165"/>
    </row>
    <row r="5" spans="1:5" ht="15" customHeight="1">
      <c r="A5" s="165"/>
      <c s="165"/>
      <c s="165"/>
      <c s="165"/>
      <c s="165"/>
    </row>
    <row r="6" spans="1:5" ht="15" customHeight="1">
      <c r="A6" s="165"/>
      <c s="165"/>
      <c s="165"/>
      <c s="165"/>
      <c s="165"/>
    </row>
    <row r="7" spans="1:5" ht="15" customHeight="1">
      <c r="A7" s="165"/>
      <c s="165"/>
      <c s="165"/>
      <c s="165"/>
      <c s="165"/>
    </row>
    <row r="8" spans="1:5" ht="15" customHeight="1">
      <c r="A8" s="165"/>
      <c s="165"/>
      <c s="165"/>
      <c s="165"/>
      <c s="165"/>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1E05F34-218A-D483-A061-0.3C8E134D}"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6328</v>
      </c>
      <c t="b">
        <v>1</v>
      </c>
    </row>
    <row r="2" spans="1:2" ht="11.25" customHeight="1">
      <c r="A2" t="s">
        <v>6329</v>
      </c>
      <c t="b">
        <v>0</v>
      </c>
    </row>
    <row r="3" spans="1:2" ht="11.25" customHeight="1">
      <c r="A3" t="s">
        <v>6330</v>
      </c>
      <c t="b">
        <v>0</v>
      </c>
    </row>
    <row r="4" spans="1:2" ht="11.25" customHeight="1">
      <c r="A4" t="s">
        <v>6331</v>
      </c>
      <c t="b">
        <v>0</v>
      </c>
    </row>
    <row r="5" spans="1:2" ht="11.25" customHeight="1">
      <c r="A5" t="s">
        <v>6332</v>
      </c>
      <c t="b">
        <v>1</v>
      </c>
    </row>
    <row r="6" spans="1:2" ht="11.25" customHeight="1">
      <c r="A6" t="s">
        <v>6333</v>
      </c>
      <c t="b">
        <v>0</v>
      </c>
    </row>
    <row r="7" spans="1:2" ht="11.25" customHeight="1">
      <c r="A7" t="s">
        <v>6334</v>
      </c>
      <c t="b">
        <v>0</v>
      </c>
    </row>
    <row r="8" spans="1:2" ht="11.25" customHeight="1">
      <c r="A8" t="s">
        <v>6335</v>
      </c>
      <c t="b">
        <v>0</v>
      </c>
    </row>
    <row r="9" spans="1:2" ht="11.25" customHeight="1">
      <c r="A9" t="s">
        <v>6336</v>
      </c>
      <c t="b">
        <v>0</v>
      </c>
    </row>
    <row r="10" spans="1:2" ht="11.25" customHeight="1">
      <c r="A10" t="s">
        <v>6337</v>
      </c>
      <c t="b">
        <v>0</v>
      </c>
    </row>
    <row r="11" spans="1:2" ht="11.25" customHeight="1">
      <c r="A11" t="s">
        <v>6338</v>
      </c>
      <c t="b">
        <v>1</v>
      </c>
    </row>
    <row r="12" spans="1:2" ht="11.25" customHeight="1">
      <c r="A12" t="s">
        <v>6339</v>
      </c>
      <c t="b">
        <v>0</v>
      </c>
    </row>
    <row r="13" spans="1:2" ht="11.25" customHeight="1">
      <c r="A13" t="s">
        <v>6340</v>
      </c>
      <c t="b">
        <v>0</v>
      </c>
    </row>
    <row r="14" spans="1:2" ht="11.25" customHeight="1">
      <c r="A14" t="s">
        <v>6341</v>
      </c>
      <c t="b">
        <v>0</v>
      </c>
    </row>
    <row r="15" spans="1:2" ht="11.25" customHeight="1">
      <c r="A15" t="s">
        <v>6342</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631305-8371-D8A5-12BC-0.6349B738}"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32"/>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D7E4AE-F21A-F842-0B72-0.79C0FB7E}"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2" customWidth="1"/>
    <col min="2" max="2" width="21.1428571428571" style="1852" customWidth="1"/>
  </cols>
  <sheetData>
    <row r="1" spans="1:2" ht="11.25" customHeight="1">
      <c r="A1" s="69" t="s">
        <v>6343</v>
      </c>
      <c s="69" t="s">
        <v>6344</v>
      </c>
    </row>
    <row r="2" spans="1:2" ht="11.25" customHeight="1">
      <c r="A2" s="66" t="s">
        <v>6345</v>
      </c>
      <c s="66" t="s">
        <v>6346</v>
      </c>
    </row>
    <row r="3" spans="1:2" ht="11.25" customHeight="1">
      <c r="A3" s="66" t="s">
        <v>6347</v>
      </c>
      <c s="66" t="s">
        <v>6348</v>
      </c>
    </row>
    <row r="4" spans="1:2" ht="11.25" customHeight="1">
      <c r="A4" s="66" t="s">
        <v>6349</v>
      </c>
      <c s="66" t="s">
        <v>6350</v>
      </c>
    </row>
    <row r="5" spans="1:2" ht="11.25" customHeight="1">
      <c r="A5" s="66" t="s">
        <v>6351</v>
      </c>
      <c s="66" t="s">
        <v>6352</v>
      </c>
    </row>
    <row r="6" spans="1:2" ht="11.25" customHeight="1">
      <c r="A6" s="66" t="s">
        <v>6353</v>
      </c>
      <c s="66" t="s">
        <v>6354</v>
      </c>
    </row>
    <row r="7" spans="1:2" ht="11.25" customHeight="1">
      <c r="A7" s="66" t="s">
        <v>6355</v>
      </c>
      <c s="66" t="s">
        <v>6356</v>
      </c>
    </row>
    <row r="8" spans="1:2" ht="11.25" customHeight="1">
      <c r="A8" s="66" t="s">
        <v>6357</v>
      </c>
      <c s="66" t="s">
        <v>6358</v>
      </c>
    </row>
    <row r="9" spans="1:2" ht="11.25" customHeight="1">
      <c r="A9" s="66" t="s">
        <v>6359</v>
      </c>
      <c s="66" t="s">
        <v>6360</v>
      </c>
    </row>
    <row r="10" spans="1:2" ht="11.25" customHeight="1">
      <c r="A10" s="66" t="s">
        <v>6361</v>
      </c>
      <c s="66" t="s">
        <v>6362</v>
      </c>
    </row>
    <row r="11" spans="1:2" ht="11.25" customHeight="1">
      <c r="A11" s="66" t="s">
        <v>6363</v>
      </c>
      <c s="66" t="s">
        <v>6364</v>
      </c>
    </row>
    <row r="12" spans="1:2" ht="11.25" customHeight="1">
      <c r="A12" s="66" t="s">
        <v>6365</v>
      </c>
      <c s="66" t="s">
        <v>6366</v>
      </c>
    </row>
    <row r="13" spans="1:2" ht="11.25" customHeight="1">
      <c r="A13" s="66" t="s">
        <v>6367</v>
      </c>
      <c s="66" t="s">
        <v>6368</v>
      </c>
    </row>
    <row r="14" spans="1:2" ht="11.25" customHeight="1">
      <c r="A14" s="66" t="s">
        <v>6369</v>
      </c>
      <c s="66" t="s">
        <v>6370</v>
      </c>
    </row>
    <row r="15" spans="1:2" ht="11.25" customHeight="1">
      <c r="A15" s="66" t="s">
        <v>6371</v>
      </c>
      <c s="66" t="s">
        <v>6372</v>
      </c>
    </row>
    <row r="16" spans="1:2" ht="11.25" customHeight="1">
      <c r="A16" s="66" t="s">
        <v>6373</v>
      </c>
      <c s="66" t="s">
        <v>6374</v>
      </c>
    </row>
    <row r="17" spans="1:2" ht="11.25" customHeight="1">
      <c r="A17" s="66" t="s">
        <v>6375</v>
      </c>
      <c s="66" t="s">
        <v>6376</v>
      </c>
    </row>
    <row r="18" spans="1:2" ht="11.25" customHeight="1">
      <c r="A18" s="66" t="s">
        <v>6377</v>
      </c>
      <c s="66" t="s">
        <v>6378</v>
      </c>
    </row>
    <row r="19" spans="1:2" ht="11.25" customHeight="1">
      <c r="A19" s="66" t="s">
        <v>6379</v>
      </c>
      <c s="66" t="s">
        <v>6380</v>
      </c>
    </row>
    <row r="20" spans="1:2" ht="11.25" customHeight="1">
      <c r="A20" s="66" t="s">
        <v>6381</v>
      </c>
      <c s="66" t="s">
        <v>6382</v>
      </c>
    </row>
    <row r="21" spans="1:2" ht="11.25" customHeight="1">
      <c r="A21" s="66" t="s">
        <v>6383</v>
      </c>
      <c s="66" t="s">
        <v>6384</v>
      </c>
    </row>
    <row r="22" spans="1:2" ht="11.25" customHeight="1">
      <c r="A22" s="66" t="s">
        <v>6385</v>
      </c>
      <c s="66" t="s">
        <v>6386</v>
      </c>
    </row>
    <row r="23" spans="1:2" ht="11.25" customHeight="1">
      <c r="A23" s="66" t="s">
        <v>6387</v>
      </c>
      <c s="66" t="s">
        <v>6388</v>
      </c>
    </row>
    <row r="24" spans="1:2" ht="11.25" customHeight="1">
      <c r="A24" s="66" t="s">
        <v>6389</v>
      </c>
      <c s="66" t="s">
        <v>6390</v>
      </c>
    </row>
    <row r="25" spans="1:2" ht="11.25" customHeight="1">
      <c r="A25" s="66" t="s">
        <v>6391</v>
      </c>
      <c s="66" t="s">
        <v>6392</v>
      </c>
    </row>
    <row r="26" spans="1:2" ht="11.25" customHeight="1">
      <c r="A26" s="66" t="s">
        <v>6393</v>
      </c>
      <c s="66" t="s">
        <v>6394</v>
      </c>
    </row>
    <row r="27" spans="1:2" ht="11.25" customHeight="1">
      <c r="A27" s="66" t="s">
        <v>6395</v>
      </c>
      <c s="66" t="s">
        <v>6396</v>
      </c>
    </row>
    <row r="28" spans="1:2" ht="11.25" customHeight="1">
      <c r="A28" s="66" t="s">
        <v>6397</v>
      </c>
      <c s="66" t="s">
        <v>6398</v>
      </c>
    </row>
    <row r="29" spans="1:2" ht="11.25" customHeight="1">
      <c r="A29" s="66" t="s">
        <v>6399</v>
      </c>
      <c s="66" t="s">
        <v>6400</v>
      </c>
    </row>
    <row r="30" spans="1:2" ht="11.25" customHeight="1">
      <c r="A30" s="66" t="s">
        <v>6401</v>
      </c>
      <c s="66" t="s">
        <v>6402</v>
      </c>
    </row>
    <row r="31" spans="1:2" ht="11.25" customHeight="1">
      <c r="A31" s="66" t="s">
        <v>6403</v>
      </c>
      <c s="66" t="s">
        <v>6404</v>
      </c>
    </row>
    <row r="32" spans="1:2" ht="11.25" customHeight="1">
      <c r="A32" s="66" t="s">
        <v>6405</v>
      </c>
      <c s="66" t="s">
        <v>6406</v>
      </c>
    </row>
    <row r="33" spans="1:2" ht="11.25" customHeight="1">
      <c r="A33" s="66" t="s">
        <v>6407</v>
      </c>
      <c s="66" t="s">
        <v>6408</v>
      </c>
    </row>
    <row r="34" spans="1:2" ht="11.25" customHeight="1">
      <c r="A34" s="66" t="s">
        <v>6409</v>
      </c>
      <c s="66" t="s">
        <v>6410</v>
      </c>
    </row>
    <row r="35" spans="1:2" ht="11.25" customHeight="1">
      <c r="A35" s="66" t="s">
        <v>6411</v>
      </c>
      <c s="66" t="s">
        <v>6412</v>
      </c>
    </row>
    <row r="36" spans="1:2" ht="11.25" customHeight="1">
      <c r="A36" s="66" t="s">
        <v>6413</v>
      </c>
      <c s="66" t="s">
        <v>6414</v>
      </c>
    </row>
    <row r="37" spans="1:2" ht="11.25" customHeight="1">
      <c r="A37" s="66" t="s">
        <v>6415</v>
      </c>
      <c s="66" t="s">
        <v>6416</v>
      </c>
    </row>
    <row r="38" spans="1:2" ht="11.25" customHeight="1">
      <c r="A38" s="66" t="s">
        <v>6417</v>
      </c>
      <c s="66" t="s">
        <v>6418</v>
      </c>
    </row>
    <row r="39" spans="1:2" ht="11.25" customHeight="1">
      <c r="A39" s="66" t="s">
        <v>6419</v>
      </c>
      <c s="66" t="s">
        <v>6420</v>
      </c>
    </row>
    <row r="40" spans="1:2" ht="11.25" customHeight="1">
      <c r="A40" s="66" t="s">
        <v>6421</v>
      </c>
      <c s="66" t="s">
        <v>6422</v>
      </c>
    </row>
    <row r="41" spans="1:2" ht="11.25" customHeight="1">
      <c r="A41" s="66" t="s">
        <v>6423</v>
      </c>
      <c s="66" t="s">
        <v>6424</v>
      </c>
    </row>
    <row r="42" spans="1:2" ht="11.25" customHeight="1">
      <c r="A42" s="66" t="s">
        <v>6425</v>
      </c>
      <c s="66" t="s">
        <v>6426</v>
      </c>
    </row>
    <row r="43" spans="1:2" ht="11.25" customHeight="1">
      <c r="A43" s="66" t="s">
        <v>6427</v>
      </c>
      <c s="66" t="s">
        <v>6428</v>
      </c>
    </row>
    <row r="44" spans="1:2" ht="11.25" customHeight="1">
      <c r="A44" s="66" t="s">
        <v>6429</v>
      </c>
      <c s="66" t="s">
        <v>6430</v>
      </c>
    </row>
    <row r="45" spans="1:2" ht="11.25" customHeight="1">
      <c r="A45" s="66" t="s">
        <v>6431</v>
      </c>
      <c s="66" t="s">
        <v>6432</v>
      </c>
    </row>
    <row r="46" spans="1:2" ht="11.25" customHeight="1">
      <c r="A46" s="66" t="s">
        <v>6433</v>
      </c>
      <c s="66" t="s">
        <v>6434</v>
      </c>
    </row>
    <row r="47" spans="1:2" ht="11.25" customHeight="1">
      <c r="A47" s="66" t="s">
        <v>6435</v>
      </c>
      <c s="66" t="s">
        <v>6436</v>
      </c>
    </row>
    <row r="48" spans="1:2" ht="11.25" customHeight="1">
      <c r="A48" s="66" t="s">
        <v>6437</v>
      </c>
      <c s="66" t="s">
        <v>6438</v>
      </c>
    </row>
    <row r="49" spans="1:2" ht="11.25" customHeight="1">
      <c r="A49" s="66" t="s">
        <v>6439</v>
      </c>
      <c s="66" t="s">
        <v>6440</v>
      </c>
    </row>
    <row r="50" spans="1:2" ht="11.25" customHeight="1">
      <c r="A50" s="66" t="s">
        <v>6441</v>
      </c>
      <c s="66" t="s">
        <v>6442</v>
      </c>
    </row>
    <row r="51" spans="1:2" ht="11.25" customHeight="1">
      <c r="A51" s="66" t="s">
        <v>6443</v>
      </c>
      <c s="66" t="s">
        <v>6444</v>
      </c>
    </row>
    <row r="52" spans="1:2" ht="11.25" customHeight="1">
      <c r="A52" s="66" t="s">
        <v>6445</v>
      </c>
      <c s="66" t="s">
        <v>6446</v>
      </c>
    </row>
    <row r="53" spans="1:2" ht="11.25" customHeight="1">
      <c r="A53" s="66" t="s">
        <v>6447</v>
      </c>
      <c s="66" t="s">
        <v>6448</v>
      </c>
    </row>
    <row r="54" spans="1:2" ht="11.25" customHeight="1">
      <c r="A54" s="66" t="s">
        <v>6449</v>
      </c>
      <c s="66" t="s">
        <v>6450</v>
      </c>
    </row>
    <row r="55" spans="1:2" ht="11.25" customHeight="1">
      <c r="A55" s="66" t="s">
        <v>6451</v>
      </c>
      <c s="66" t="s">
        <v>6452</v>
      </c>
    </row>
    <row r="56" spans="1:2" ht="11.25" customHeight="1">
      <c r="A56" s="66" t="s">
        <v>6453</v>
      </c>
      <c s="66" t="s">
        <v>6454</v>
      </c>
    </row>
    <row r="57" spans="1:2" ht="11.25" customHeight="1">
      <c r="A57" s="66" t="s">
        <v>6455</v>
      </c>
      <c s="66" t="s">
        <v>6456</v>
      </c>
    </row>
    <row r="58" spans="1:2" ht="11.25" customHeight="1">
      <c r="A58" s="66" t="s">
        <v>6457</v>
      </c>
      <c s="66" t="s">
        <v>6458</v>
      </c>
    </row>
    <row r="59" spans="1:2" ht="11.25" customHeight="1">
      <c r="A59" s="66" t="s">
        <v>6459</v>
      </c>
      <c s="66" t="s">
        <v>6460</v>
      </c>
    </row>
    <row r="60" spans="1:2" ht="11.25" customHeight="1">
      <c r="A60" s="66" t="s">
        <v>6461</v>
      </c>
      <c s="66" t="s">
        <v>6462</v>
      </c>
    </row>
    <row r="61" spans="1:2" ht="11.25" customHeight="1">
      <c r="A61" s="66"/>
      <c s="66" t="s">
        <v>6463</v>
      </c>
    </row>
    <row r="62" spans="1:2" ht="11.25" customHeight="1">
      <c r="A62" s="66"/>
      <c s="66" t="s">
        <v>6464</v>
      </c>
    </row>
    <row r="63" spans="1:2" ht="11.25" customHeight="1">
      <c r="A63" s="66"/>
      <c s="66" t="s">
        <v>6465</v>
      </c>
    </row>
    <row r="64" spans="1:2" ht="11.25" customHeight="1">
      <c r="A64" s="66"/>
      <c s="66" t="s">
        <v>6466</v>
      </c>
    </row>
    <row r="65" spans="1:2" ht="11.25" customHeight="1">
      <c r="A65" s="66"/>
      <c s="66" t="s">
        <v>6467</v>
      </c>
    </row>
    <row r="66" spans="1:2" ht="11.25" customHeight="1">
      <c r="A66" s="66"/>
      <c s="66" t="s">
        <v>6468</v>
      </c>
    </row>
    <row r="67" spans="1:2" ht="11.25" customHeight="1">
      <c r="A67" s="66"/>
      <c s="66" t="s">
        <v>6469</v>
      </c>
    </row>
    <row r="68" spans="1:2" ht="11.25" customHeight="1">
      <c r="A68" s="66"/>
      <c s="66" t="s">
        <v>6470</v>
      </c>
    </row>
    <row r="69" spans="1:2" ht="11.25" customHeight="1">
      <c r="A69" s="66"/>
      <c s="66" t="s">
        <v>6471</v>
      </c>
    </row>
    <row r="70" spans="1:2" ht="11.25" customHeight="1">
      <c r="A70" s="66"/>
      <c s="66" t="s">
        <v>6472</v>
      </c>
    </row>
    <row r="71" spans="1:2" ht="11.25" customHeight="1">
      <c r="A71" s="66"/>
      <c s="66"/>
    </row>
    <row r="72" spans="1:2" ht="11.25" customHeight="1">
      <c r="A72" s="66"/>
      <c s="66"/>
    </row>
    <row r="73" spans="1:2" ht="11.25" customHeight="1">
      <c r="A73" s="66"/>
      <c s="66"/>
    </row>
    <row r="74" spans="1:2" ht="11.25" customHeight="1">
      <c r="A74" s="66"/>
      <c s="66"/>
    </row>
    <row r="75" spans="1:2" ht="11.25" customHeight="1">
      <c r="A75" s="66"/>
      <c s="66"/>
    </row>
    <row r="76" spans="1:2" ht="11.25" customHeight="1">
      <c r="A76" s="66"/>
      <c s="66"/>
    </row>
    <row r="77" spans="1:2" ht="11.25" customHeight="1">
      <c r="A77" s="66"/>
      <c s="66"/>
    </row>
    <row r="78" spans="1:2" ht="11.25" customHeight="1">
      <c r="A78" s="66"/>
      <c s="66"/>
    </row>
    <row r="79" spans="1:2" ht="11.25" customHeight="1">
      <c r="A79" s="66"/>
      <c s="66"/>
    </row>
    <row r="80" spans="1:2" ht="11.25" customHeight="1">
      <c r="A80" s="66"/>
      <c s="66"/>
    </row>
    <row r="81" spans="1:2" ht="11.25" customHeight="1">
      <c r="A81" s="66"/>
      <c s="66"/>
    </row>
    <row r="82" spans="1:2" ht="11.25" customHeight="1">
      <c r="A82" s="66"/>
      <c s="66"/>
    </row>
    <row r="83" spans="1:2" ht="11.25" customHeight="1">
      <c r="A83" s="66"/>
      <c s="66"/>
    </row>
    <row r="84" spans="1:2" ht="11.25" customHeight="1">
      <c r="A84" s="66"/>
      <c s="66"/>
    </row>
    <row r="85" spans="1:2" ht="11.25" customHeight="1">
      <c r="A85" s="66"/>
      <c s="66"/>
    </row>
    <row r="86" spans="1:2" ht="11.25" customHeight="1">
      <c r="A86" s="66"/>
      <c s="66"/>
    </row>
    <row r="87" spans="1:2" ht="11.25" customHeight="1">
      <c r="A87" s="66"/>
      <c s="66"/>
    </row>
    <row r="88" spans="1:2" ht="11.25" customHeight="1">
      <c r="A88" s="66"/>
      <c s="66"/>
    </row>
    <row r="89" spans="1:2" ht="11.25" customHeight="1">
      <c r="A89" s="66"/>
      <c s="66"/>
    </row>
    <row r="90" spans="1:2" ht="11.25" customHeight="1">
      <c r="A90" s="66"/>
      <c s="66"/>
    </row>
    <row r="91" spans="1:2" ht="11.25" customHeight="1">
      <c r="A91" s="66"/>
      <c s="66"/>
    </row>
    <row r="92" spans="1:2" ht="11.25" customHeight="1">
      <c r="A92" s="66"/>
      <c s="66"/>
    </row>
    <row r="93" spans="1:2" ht="11.25" customHeight="1">
      <c r="A93" s="66"/>
      <c s="66"/>
    </row>
    <row r="94" spans="1:2" ht="11.25" customHeight="1">
      <c r="A94" s="66"/>
      <c s="66"/>
    </row>
    <row r="95" spans="1:2" ht="11.25" customHeight="1">
      <c r="A95" s="66"/>
      <c s="66"/>
    </row>
    <row r="96" spans="1:2" ht="11.25" customHeight="1">
      <c r="A96" s="66"/>
      <c s="66"/>
    </row>
    <row r="97" spans="1:2" ht="11.25" customHeight="1">
      <c r="A97" s="66"/>
      <c s="66"/>
    </row>
    <row r="98" spans="1:2" ht="11.25" customHeight="1">
      <c r="A98" s="66"/>
      <c s="66"/>
    </row>
    <row r="99" spans="1:2" ht="11.25" customHeight="1">
      <c r="A99" s="66"/>
      <c s="66"/>
    </row>
    <row r="100" spans="1:2" ht="11.25" customHeight="1">
      <c r="A100" s="66"/>
      <c s="66"/>
    </row>
    <row r="101" spans="1:2" ht="11.25" customHeight="1">
      <c r="A101" s="66"/>
      <c s="66"/>
    </row>
    <row r="102" spans="1:2" ht="11.25" customHeight="1">
      <c r="A102" s="66"/>
      <c s="66"/>
    </row>
    <row r="103" spans="1:2" ht="11.25" customHeight="1">
      <c r="A103" s="66"/>
      <c s="66"/>
    </row>
    <row r="104" spans="1:2" ht="11.25" customHeight="1">
      <c r="A104" s="66"/>
      <c s="66"/>
    </row>
    <row r="105" spans="1:2" ht="11.25" customHeight="1">
      <c r="A105" s="66"/>
      <c s="66"/>
    </row>
    <row r="106" spans="1:2" ht="11.25" customHeight="1">
      <c r="A106" s="66"/>
      <c s="66"/>
    </row>
    <row r="107" spans="1:2" ht="11.25" customHeight="1">
      <c r="A107" s="66"/>
      <c s="66"/>
    </row>
    <row r="108" spans="1:2" ht="11.25" customHeight="1">
      <c r="A108" s="66"/>
      <c s="66"/>
    </row>
    <row r="109" spans="1:2" ht="11.25" customHeight="1">
      <c r="A109" s="66"/>
      <c s="66"/>
    </row>
    <row r="110" spans="1:2" ht="11.25" customHeight="1">
      <c r="A110" s="66"/>
      <c s="66"/>
    </row>
    <row r="111" spans="1:2" ht="11.25" customHeight="1">
      <c r="A111" s="66"/>
      <c s="66"/>
    </row>
    <row r="112" spans="1:2" ht="11.25" customHeight="1">
      <c r="A112" s="66"/>
      <c s="66"/>
    </row>
    <row r="113" spans="1:2" ht="11.25" customHeight="1">
      <c r="A113" s="66"/>
      <c s="66"/>
    </row>
    <row r="114" spans="1:2" ht="11.25" customHeight="1">
      <c r="A114" s="66"/>
      <c s="66"/>
    </row>
    <row r="115" spans="1:2" ht="11.25" customHeight="1">
      <c r="A115" s="66"/>
      <c s="66"/>
    </row>
    <row r="116" spans="1:2" ht="11.25" customHeight="1">
      <c r="A116" s="66"/>
      <c s="66"/>
    </row>
    <row r="117" spans="1:2" ht="11.25" customHeight="1">
      <c r="A117" s="66"/>
      <c s="66"/>
    </row>
    <row r="118" spans="1:2" ht="11.25" customHeight="1">
      <c r="A118" s="66"/>
      <c s="66"/>
    </row>
    <row r="119" spans="1:2" ht="11.25" customHeight="1">
      <c r="A119" s="66"/>
      <c s="66"/>
    </row>
    <row r="120" spans="1:2" ht="11.25" customHeight="1">
      <c r="A120" s="66"/>
      <c s="66"/>
    </row>
    <row r="121" spans="1:2" ht="11.25" customHeight="1">
      <c r="A121" s="66"/>
      <c s="66"/>
    </row>
    <row r="122" spans="1:2" ht="11.25" customHeight="1">
      <c r="A122" s="66"/>
      <c s="66"/>
    </row>
    <row r="123" spans="1:2" ht="11.25" customHeight="1">
      <c r="A123" s="66"/>
      <c s="66"/>
    </row>
    <row r="124" spans="1:2" ht="11.25" customHeight="1">
      <c r="A124" s="66"/>
      <c s="66"/>
    </row>
    <row r="125" spans="1:2" ht="11.25" customHeight="1">
      <c r="A125" s="66"/>
      <c s="66"/>
    </row>
    <row r="126" spans="1:2" ht="11.25" customHeight="1">
      <c r="A126" s="66"/>
      <c s="66"/>
    </row>
    <row r="127" spans="1:2" ht="11.25" customHeight="1">
      <c r="A127" s="66"/>
      <c s="66"/>
    </row>
    <row r="128" spans="1:2" ht="11.25" customHeight="1">
      <c r="A128" s="66"/>
      <c s="66"/>
    </row>
    <row r="129" spans="1:2" ht="11.25" customHeight="1">
      <c r="A129" s="66"/>
      <c s="66"/>
    </row>
    <row r="130" spans="1:2" ht="11.25" customHeight="1">
      <c r="A130" s="66"/>
      <c s="66"/>
    </row>
    <row r="131" spans="1:2" ht="11.25" customHeight="1">
      <c r="A131" s="66"/>
      <c s="66"/>
    </row>
    <row r="132" spans="1:2" ht="11.25" customHeight="1">
      <c r="A132" s="66"/>
      <c s="66"/>
    </row>
    <row r="133" spans="1:2" ht="11.25" customHeight="1">
      <c r="A133" s="66"/>
      <c s="66"/>
    </row>
    <row r="134" spans="1:2" ht="11.25" customHeight="1">
      <c r="A134" s="66"/>
      <c s="66"/>
    </row>
    <row r="135" spans="1:2" ht="11.25" customHeight="1">
      <c r="A135" s="66"/>
      <c s="66"/>
    </row>
    <row r="136" spans="1:2" ht="11.25" customHeight="1">
      <c r="A136" s="66"/>
      <c s="66"/>
    </row>
    <row r="137" spans="1:2" ht="11.25" customHeight="1">
      <c r="A137" s="66"/>
      <c s="66"/>
    </row>
    <row r="138" spans="1:2" ht="11.25" customHeight="1">
      <c r="A138" s="66"/>
      <c s="66"/>
    </row>
    <row r="139" spans="1:2" ht="11.25" customHeight="1">
      <c r="A139" s="66"/>
      <c s="66"/>
    </row>
    <row r="140" spans="1:2" ht="11.25" customHeight="1">
      <c r="A140" s="66"/>
      <c s="66"/>
    </row>
    <row r="141" spans="1:2" ht="11.25" customHeight="1">
      <c r="A141" s="66"/>
      <c s="66"/>
    </row>
    <row r="142" spans="1:2" ht="11.25" customHeight="1">
      <c r="A142" s="66"/>
      <c s="66"/>
    </row>
    <row r="143" spans="1:2" ht="11.25" customHeight="1">
      <c r="A143" s="66"/>
      <c s="66"/>
    </row>
    <row r="144" spans="1:2" ht="11.25" customHeight="1">
      <c r="A144" s="66"/>
      <c s="66"/>
    </row>
    <row r="145" spans="1:2" ht="11.25" customHeight="1">
      <c r="A145" s="66"/>
      <c s="66"/>
    </row>
    <row r="146" spans="1:2" ht="11.25" customHeight="1">
      <c r="A146" s="66"/>
      <c s="66"/>
    </row>
    <row r="147" spans="1:2" ht="11.25" customHeight="1">
      <c r="A147" s="66"/>
      <c s="66"/>
    </row>
    <row r="148" spans="1:2" ht="11.25" customHeight="1">
      <c r="A148" s="66"/>
      <c s="66"/>
    </row>
    <row r="149" spans="1:2" ht="11.25" customHeight="1">
      <c r="A149" s="66"/>
      <c s="66"/>
    </row>
    <row r="150" spans="1:2" ht="11.25" customHeight="1">
      <c r="A150" s="66"/>
      <c s="66"/>
    </row>
    <row r="151" spans="1:2" ht="11.25" customHeight="1">
      <c r="A151" s="66"/>
      <c s="66"/>
    </row>
    <row r="152" spans="1:2" ht="11.25" customHeight="1">
      <c r="A152" s="66"/>
      <c s="66"/>
    </row>
    <row r="153" spans="1:2" ht="11.25" customHeight="1">
      <c r="A153" s="66"/>
      <c s="66"/>
    </row>
    <row r="154" spans="1:2" ht="11.25" customHeight="1">
      <c r="A154" s="66"/>
      <c s="66"/>
    </row>
    <row r="155" spans="1:2" ht="11.25" customHeight="1">
      <c r="A155" s="66"/>
      <c s="66"/>
    </row>
    <row r="156" spans="1:2" ht="11.25" customHeight="1">
      <c r="A156" s="66"/>
      <c s="66"/>
    </row>
    <row r="157" spans="1:2" ht="11.25" customHeight="1">
      <c r="A157" s="66"/>
      <c s="66"/>
    </row>
    <row r="158" spans="1:2" ht="11.25" customHeight="1">
      <c r="A158" s="66"/>
      <c s="66"/>
    </row>
    <row r="159" spans="1:2" ht="11.25" customHeight="1">
      <c r="A159" s="66"/>
      <c s="66"/>
    </row>
    <row r="160" spans="1:2" ht="11.25" customHeight="1">
      <c r="A160" s="66"/>
      <c s="66"/>
    </row>
    <row r="161" spans="1:2" ht="11.25" customHeight="1">
      <c r="A161" s="66"/>
      <c s="66"/>
    </row>
    <row r="162" spans="1:2" ht="11.25" customHeight="1">
      <c r="A162" s="66"/>
      <c s="66"/>
    </row>
    <row r="163" spans="1:2" ht="11.25" customHeight="1">
      <c r="A163" s="66"/>
      <c s="66"/>
    </row>
    <row r="164" spans="1:2" ht="11.25" customHeight="1">
      <c r="A164" s="66"/>
      <c s="66"/>
    </row>
    <row r="165" spans="1:2" ht="11.25" customHeight="1">
      <c r="A165" s="66"/>
      <c s="66"/>
    </row>
    <row r="166" spans="1:2" ht="11.25" customHeight="1">
      <c r="A166" s="66"/>
      <c s="66"/>
    </row>
    <row r="167" spans="1:2" ht="11.25" customHeight="1">
      <c r="A167" s="66"/>
      <c s="66"/>
    </row>
    <row r="168" spans="1:2" ht="11.25" customHeight="1">
      <c r="A168" s="66"/>
      <c s="66"/>
    </row>
    <row r="169" spans="1:2" ht="11.25" customHeight="1">
      <c r="A169" s="66"/>
      <c s="66"/>
    </row>
    <row r="170" spans="1:2" ht="11.25" customHeight="1">
      <c r="A170" s="66"/>
      <c s="66"/>
    </row>
    <row r="171" spans="1:2" ht="11.25" customHeight="1">
      <c r="A171" s="66"/>
      <c s="66"/>
    </row>
    <row r="172" spans="1:2" ht="11.25" customHeight="1">
      <c r="A172" s="66"/>
      <c s="66"/>
    </row>
    <row r="173" spans="1:2" ht="11.25" customHeight="1">
      <c r="A173" s="66"/>
      <c s="66"/>
    </row>
    <row r="174" spans="1:2" ht="11.25" customHeight="1">
      <c r="A174" s="66"/>
      <c s="66"/>
    </row>
    <row r="175" spans="1:2" ht="11.25" customHeight="1">
      <c r="A175" s="66"/>
      <c s="66"/>
    </row>
    <row r="176" spans="1:2" ht="11.25" customHeight="1">
      <c r="A176" s="66"/>
      <c s="66"/>
    </row>
    <row r="177" spans="1:2" ht="11.25" customHeight="1">
      <c r="A177" s="66"/>
      <c s="66"/>
    </row>
    <row r="178" spans="1:2" ht="11.25" customHeight="1">
      <c r="A178" s="66"/>
      <c s="66"/>
    </row>
    <row r="179" spans="1:2" ht="11.25" customHeight="1">
      <c r="A179" s="66"/>
      <c s="66"/>
    </row>
    <row r="180" spans="1:2" ht="11.25" customHeight="1">
      <c r="A180" s="66"/>
      <c s="66"/>
    </row>
    <row r="181" spans="1:2" ht="11.25" customHeight="1">
      <c r="A181" s="66"/>
      <c s="66"/>
    </row>
    <row r="182" spans="1:2" ht="11.25" customHeight="1">
      <c r="A182" s="66"/>
      <c s="66"/>
    </row>
    <row r="183" spans="1:2" ht="11.25" customHeight="1">
      <c r="A183" s="66"/>
      <c s="66"/>
    </row>
    <row r="184" spans="1:2" ht="11.25" customHeight="1">
      <c r="A184" s="66"/>
      <c s="66"/>
    </row>
    <row r="185" spans="1:2" ht="11.25" customHeight="1">
      <c r="A185" s="66"/>
      <c s="66"/>
    </row>
    <row r="186" spans="1:2" ht="11.25" customHeight="1">
      <c r="A186" s="66"/>
      <c s="66"/>
    </row>
    <row r="187" spans="1:2" ht="11.25" customHeight="1">
      <c r="A187" s="66"/>
      <c s="66"/>
    </row>
    <row r="188" spans="1:2" ht="11.25" customHeight="1">
      <c r="A188" s="66"/>
      <c s="66"/>
    </row>
    <row r="189" spans="1:2" ht="11.25" customHeight="1">
      <c r="A189" s="66"/>
      <c s="66"/>
    </row>
    <row r="190" spans="1:2" ht="11.25" customHeight="1">
      <c r="A190" s="66"/>
      <c s="66"/>
    </row>
    <row r="191" spans="1:2" ht="11.25" customHeight="1">
      <c r="A191" s="66"/>
      <c s="66"/>
    </row>
    <row r="192" spans="1:2" ht="11.25" customHeight="1">
      <c r="A192" s="66"/>
      <c s="66"/>
    </row>
    <row r="193" spans="1:2" ht="11.25" customHeight="1">
      <c r="A193" s="66"/>
      <c s="66"/>
    </row>
    <row r="194" spans="1:2" ht="11.25" customHeight="1">
      <c r="A194" s="66"/>
      <c s="66"/>
    </row>
    <row r="195" spans="1:2" ht="11.25" customHeight="1">
      <c r="A195" s="66"/>
      <c s="66"/>
    </row>
    <row r="196" spans="1:2" ht="11.25" customHeight="1">
      <c r="A196" s="66"/>
      <c s="66"/>
    </row>
    <row r="197" spans="1:2" ht="11.25" customHeight="1">
      <c r="A197" s="66"/>
      <c s="66"/>
    </row>
    <row r="198" spans="1:2" ht="11.25" customHeight="1">
      <c r="A198" s="66"/>
      <c s="66"/>
    </row>
    <row r="199" spans="1:2" ht="11.25" customHeight="1">
      <c r="A199" s="66"/>
      <c s="66"/>
    </row>
    <row r="200" spans="1:2" ht="11.25" customHeight="1">
      <c r="A200" s="66"/>
      <c s="66"/>
    </row>
    <row r="201" spans="1:2" ht="11.25" customHeight="1">
      <c r="A201" s="66"/>
      <c s="66"/>
    </row>
    <row r="202" spans="1:2" ht="11.25" customHeight="1">
      <c r="A202" s="66"/>
      <c s="66"/>
    </row>
    <row r="203" spans="1:2" ht="11.25" customHeight="1">
      <c r="A203" s="66"/>
      <c s="66"/>
    </row>
    <row r="204" spans="1:2" ht="11.25" customHeight="1">
      <c r="A204" s="66"/>
      <c s="66"/>
    </row>
    <row r="205" spans="1:2" ht="11.25" customHeight="1">
      <c r="A205" s="66"/>
      <c s="66"/>
    </row>
    <row r="206" spans="1:2" ht="11.25" customHeight="1">
      <c r="A206" s="66"/>
      <c s="66"/>
    </row>
    <row r="207" spans="1:2" ht="11.25" customHeight="1">
      <c r="A207" s="66"/>
      <c s="66"/>
    </row>
    <row r="208" spans="1:2" ht="11.25" customHeight="1">
      <c r="A208" s="66"/>
      <c s="66"/>
    </row>
    <row r="209" spans="1:2" ht="11.25" customHeight="1">
      <c r="A209" s="66"/>
      <c s="66"/>
    </row>
    <row r="210" spans="1:2" ht="11.25" customHeight="1">
      <c r="A210" s="66"/>
      <c s="66"/>
    </row>
    <row r="211" spans="1:2" ht="11.25" customHeight="1">
      <c r="A211" s="66"/>
      <c s="66"/>
    </row>
    <row r="212" spans="1:2" ht="11.25" customHeight="1">
      <c r="A212" s="66"/>
      <c s="66"/>
    </row>
    <row r="213" spans="1:2" ht="11.25" customHeight="1">
      <c r="A213" s="66"/>
      <c s="66"/>
    </row>
    <row r="214" spans="1:2" ht="11.25" customHeight="1">
      <c r="A214" s="66"/>
      <c s="66"/>
    </row>
    <row r="215" spans="1:2" ht="11.25" customHeight="1">
      <c r="A215" s="66"/>
      <c s="66"/>
    </row>
    <row r="216" spans="1:2" ht="11.25" customHeight="1">
      <c r="A216" s="66"/>
      <c s="66"/>
    </row>
    <row r="217" spans="1:2" ht="11.25" customHeight="1">
      <c r="A217" s="66"/>
      <c s="66"/>
    </row>
    <row r="218" spans="1:2" ht="11.25" customHeight="1">
      <c r="A218" s="66"/>
      <c s="66"/>
    </row>
    <row r="219" spans="1:2" ht="11.25" customHeight="1">
      <c r="A219" s="66"/>
      <c s="66"/>
    </row>
    <row r="220" spans="1:2" ht="11.25" customHeight="1">
      <c r="A220" s="66"/>
      <c s="66"/>
    </row>
    <row r="221" spans="1:2" ht="11.25" customHeight="1">
      <c r="A221" s="66"/>
      <c s="66"/>
    </row>
    <row r="222" spans="1:2" ht="11.25" customHeight="1">
      <c r="A222" s="66"/>
      <c s="66"/>
    </row>
    <row r="223" spans="1:2" ht="11.25" customHeight="1">
      <c r="A223" s="66"/>
      <c s="66"/>
    </row>
    <row r="224" spans="1:2" ht="11.25" customHeight="1">
      <c r="A224" s="66"/>
      <c s="66"/>
    </row>
    <row r="225" spans="1:2" ht="11.25" customHeight="1">
      <c r="A225" s="66"/>
      <c s="66"/>
    </row>
    <row r="226" spans="1:2" ht="11.25" customHeight="1">
      <c r="A226" s="66"/>
      <c s="66"/>
    </row>
    <row r="227" spans="1:2" ht="11.25" customHeight="1">
      <c r="A227" s="66"/>
      <c s="66"/>
    </row>
    <row r="228" spans="1:2" ht="11.25" customHeight="1">
      <c r="A228" s="66"/>
      <c s="66"/>
    </row>
    <row r="229" spans="1:2" ht="11.25" customHeight="1">
      <c r="A229" s="66"/>
      <c s="66"/>
    </row>
    <row r="230" spans="1:2" ht="11.25" customHeight="1">
      <c r="A230" s="66"/>
      <c s="66"/>
    </row>
    <row r="231" spans="1:2" ht="11.25" customHeight="1">
      <c r="A231" s="66"/>
      <c s="66"/>
    </row>
    <row r="232" spans="1:2" ht="11.25" customHeight="1">
      <c r="A232" s="66"/>
      <c s="66"/>
    </row>
    <row r="233" spans="1:2" ht="11.25" customHeight="1">
      <c r="A233" s="66"/>
      <c s="66"/>
    </row>
    <row r="234" spans="1:2" ht="11.25" customHeight="1">
      <c r="A234" s="66"/>
      <c s="66"/>
    </row>
    <row r="235" spans="1:2" ht="11.25" customHeight="1">
      <c r="A235" s="66"/>
      <c s="66"/>
    </row>
    <row r="236" spans="1:2" ht="11.25" customHeight="1">
      <c r="A236" s="66"/>
      <c s="66"/>
    </row>
    <row r="237" spans="1:2" ht="11.25" customHeight="1">
      <c r="A237" s="66"/>
      <c s="66"/>
    </row>
    <row r="238" spans="1:2" ht="11.25" customHeight="1">
      <c r="A238" s="66"/>
      <c s="66"/>
    </row>
    <row r="239" spans="1:2" ht="11.25" customHeight="1">
      <c r="A239" s="66"/>
      <c s="66"/>
    </row>
    <row r="240" spans="1:2" ht="11.25" customHeight="1">
      <c r="A240" s="66"/>
      <c s="66"/>
    </row>
    <row r="241" spans="1:2" ht="11.25" customHeight="1">
      <c r="A241" s="66"/>
      <c s="66"/>
    </row>
    <row r="242" spans="1:2" ht="11.25" customHeight="1">
      <c r="A242" s="66"/>
      <c s="66"/>
    </row>
    <row r="243" spans="1:2" ht="11.25" customHeight="1">
      <c r="A243" s="66"/>
      <c s="66"/>
    </row>
    <row r="244" spans="1:2" ht="11.25" customHeight="1">
      <c r="A244" s="66"/>
      <c s="66"/>
    </row>
    <row r="245" spans="1:2" ht="11.25" customHeight="1">
      <c r="A245" s="66"/>
      <c s="66"/>
    </row>
    <row r="246" spans="1:2" ht="11.25" customHeight="1">
      <c r="A246" s="66"/>
      <c s="66"/>
    </row>
    <row r="247" spans="1:2" ht="11.25" customHeight="1">
      <c r="A247" s="66"/>
      <c s="66"/>
    </row>
    <row r="248" spans="1:2" ht="11.25" customHeight="1">
      <c r="A248" s="66"/>
      <c s="66"/>
    </row>
    <row r="249" spans="1:2" ht="11.25" customHeight="1">
      <c r="A249" s="66"/>
      <c s="66"/>
    </row>
    <row r="250" spans="1:2" ht="11.25" customHeight="1">
      <c r="A250" s="66"/>
      <c s="66"/>
    </row>
    <row r="251" spans="1:2" ht="11.25" customHeight="1">
      <c r="A251" s="66"/>
      <c s="66"/>
    </row>
    <row r="252" spans="1:2" ht="11.25" customHeight="1">
      <c r="A252" s="66"/>
      <c s="66"/>
    </row>
    <row r="253" spans="1:2" ht="11.25" customHeight="1">
      <c r="A253" s="66"/>
      <c s="66"/>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F944E96-15B2-6805-3ADE-0.3D2F9AD}"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2" customWidth="1"/>
    <col min="2" max="2" width="90.7142857142857" style="1852" customWidth="1"/>
    <col min="3" max="4" width="9.14285714285714" style="1852"/>
  </cols>
  <sheetData>
    <row r="1" spans="2:2" ht="11.25" customHeight="1">
      <c r="B1" s="95" t="s">
        <v>6473</v>
      </c>
    </row>
    <row r="2" spans="2:2" ht="90" customHeight="1">
      <c r="B2" s="96" t="s">
        <v>6474</v>
      </c>
    </row>
    <row r="3" spans="2:2" ht="67.5" customHeight="1">
      <c r="B3" s="96" t="s">
        <v>6475</v>
      </c>
    </row>
    <row r="4" spans="2:2" ht="33.75" customHeight="1">
      <c r="B4" s="96" t="s">
        <v>6476</v>
      </c>
    </row>
    <row r="5" spans="2:2" ht="11.25" customHeight="1">
      <c r="B5" s="96" t="s">
        <v>6477</v>
      </c>
    </row>
    <row r="6" spans="2:2" ht="22.5" customHeight="1">
      <c r="B6" s="96" t="s">
        <v>6478</v>
      </c>
    </row>
    <row r="7" spans="2:2" ht="22.5" customHeight="1">
      <c r="B7" s="96" t="s">
        <v>6479</v>
      </c>
    </row>
    <row r="8" spans="2:2" ht="22.5" customHeight="1">
      <c r="B8" s="96" t="s">
        <v>6480</v>
      </c>
    </row>
    <row r="9" spans="2:2" ht="22.5" customHeight="1">
      <c r="B9" s="96" t="s">
        <v>6481</v>
      </c>
    </row>
    <row r="10" spans="2:2" ht="56.25" customHeight="1">
      <c r="B10" s="96" t="s">
        <v>6482</v>
      </c>
    </row>
    <row r="11" spans="2:2" ht="12.75" customHeight="1">
      <c r="B11" s="161" t="s">
        <v>6483</v>
      </c>
    </row>
    <row r="12" spans="2:2" ht="11.25" customHeight="1">
      <c r="B12" s="95" t="s">
        <v>6484</v>
      </c>
    </row>
    <row r="13" spans="2:2" ht="22.5" customHeight="1">
      <c r="B13" s="96" t="s">
        <v>6485</v>
      </c>
    </row>
    <row r="14" spans="2:2" ht="67.5" customHeight="1">
      <c r="B14" s="96" t="s">
        <v>6486</v>
      </c>
    </row>
    <row r="15" spans="2:2" ht="22.5" customHeight="1">
      <c r="B15" s="96" t="s">
        <v>6487</v>
      </c>
    </row>
    <row r="16" spans="2:4" ht="11.25" customHeight="1">
      <c r="B16" s="95" t="s">
        <v>6488</v>
      </c>
      <c r="D16" s="102"/>
    </row>
    <row r="17" spans="2:2" ht="33.75" customHeight="1">
      <c r="B17" s="96" t="s">
        <v>6489</v>
      </c>
    </row>
    <row r="18" spans="2:2" ht="33.75" customHeight="1">
      <c r="B18" s="96" t="s">
        <v>6490</v>
      </c>
    </row>
    <row r="19" spans="2:2" ht="11.25" customHeight="1">
      <c r="B19" s="96" t="s">
        <v>6491</v>
      </c>
    </row>
    <row r="20" spans="2:2" ht="33.75" customHeight="1">
      <c r="B20" s="96" t="s">
        <v>6492</v>
      </c>
    </row>
    <row r="21" spans="2:2" ht="11.25" customHeight="1">
      <c r="B21" s="95" t="s">
        <v>6493</v>
      </c>
    </row>
    <row r="22" spans="2:2" ht="11.25" customHeight="1">
      <c r="B22" s="96" t="s">
        <v>6494</v>
      </c>
    </row>
    <row r="24" spans="2:2" ht="22.5" customHeight="1">
      <c r="B24" s="163" t="s">
        <v>6495</v>
      </c>
    </row>
    <row r="26" spans="2:2" ht="11.25" customHeight="1">
      <c r="B26" s="95" t="s">
        <v>6496</v>
      </c>
    </row>
    <row r="27" spans="2:2" ht="22.5" customHeight="1">
      <c r="B27" s="162" t="s">
        <v>396</v>
      </c>
    </row>
    <row r="28" spans="2:2" ht="56.25" customHeight="1">
      <c r="B28" s="162" t="s">
        <v>6497</v>
      </c>
    </row>
    <row r="29" spans="2:2" ht="11.25" customHeight="1">
      <c r="B29" s="212" t="s">
        <v>6498</v>
      </c>
    </row>
    <row r="30" spans="2:2" ht="22.5" customHeight="1">
      <c r="B30" s="162" t="s">
        <v>6499</v>
      </c>
    </row>
    <row r="32" spans="1:2" ht="11.25" customHeight="1">
      <c r="A32" s="190"/>
      <c s="191" t="s">
        <v>6500</v>
      </c>
    </row>
    <row r="33" spans="1:2" ht="14.25" customHeight="1">
      <c r="A33" s="192">
        <v>1</v>
      </c>
      <c s="193" t="s">
        <v>6501</v>
      </c>
    </row>
    <row r="34" spans="1:2" ht="14.25" customHeight="1">
      <c r="A34" s="192">
        <v>2</v>
      </c>
      <c s="193" t="s">
        <v>6502</v>
      </c>
    </row>
    <row r="35" spans="2:2" ht="11.25" customHeight="1">
      <c r="B35" s="191" t="s">
        <v>6503</v>
      </c>
    </row>
    <row r="36" spans="2:2" ht="11.25" customHeight="1">
      <c r="B36" s="193" t="s">
        <v>6504</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